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zou\Box Sync\PhD work\Paper 2 - Mapping materials demand for high penetration of EVs, challenges and opportunities\Python script\"/>
    </mc:Choice>
  </mc:AlternateContent>
  <xr:revisionPtr revIDLastSave="0" documentId="13_ncr:1_{F837FE96-38DF-449B-9000-769902789471}" xr6:coauthVersionLast="47" xr6:coauthVersionMax="47" xr10:uidLastSave="{00000000-0000-0000-0000-000000000000}"/>
  <bookViews>
    <workbookView xWindow="19515" yWindow="1920" windowWidth="17145" windowHeight="15780" firstSheet="2" activeTab="3" xr2:uid="{00000000-000D-0000-FFFF-FFFF00000000}"/>
  </bookViews>
  <sheets>
    <sheet name="Sheet1" sheetId="1" r:id="rId1"/>
    <sheet name="Li-S calculations" sheetId="21" r:id="rId2"/>
    <sheet name="chemistries forecasts" sheetId="18" r:id="rId3"/>
    <sheet name="BEV_data" sheetId="2" r:id="rId4"/>
    <sheet name="Batt_size" sheetId="17" r:id="rId5"/>
    <sheet name="Material composition" sheetId="3" r:id="rId6"/>
    <sheet name="CAPEX" sheetId="20" r:id="rId7"/>
    <sheet name="Employment and automation" sheetId="22" r:id="rId8"/>
    <sheet name="Calculations_cells" sheetId="15" r:id="rId9"/>
    <sheet name="Calculations_pack" sheetId="16" r:id="rId10"/>
    <sheet name="LCIs Li-ion" sheetId="14" r:id="rId11"/>
    <sheet name="Production capacity" sheetId="13" r:id="rId12"/>
    <sheet name="Sheet2" sheetId="19" r:id="rId13"/>
    <sheet name="Historical EVs sales" sheetId="23" r:id="rId14"/>
  </sheets>
  <definedNames>
    <definedName name="_xlnm._FilterDatabase" localSheetId="13" hidden="1">'Historical EVs sales'!$D$2:$G$35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" i="23" l="1"/>
  <c r="P16" i="23"/>
  <c r="O16" i="23"/>
  <c r="N16" i="23"/>
  <c r="M16" i="23"/>
  <c r="L16" i="23"/>
  <c r="Q15" i="23"/>
  <c r="P15" i="23"/>
  <c r="O15" i="23"/>
  <c r="N15" i="23"/>
  <c r="M15" i="23"/>
  <c r="L15" i="23"/>
  <c r="M14" i="23"/>
  <c r="N14" i="23" s="1"/>
  <c r="O14" i="23" s="1"/>
  <c r="P14" i="23" s="1"/>
  <c r="Q14" i="23" s="1"/>
  <c r="Q74" i="2"/>
  <c r="R74" i="2"/>
  <c r="R82" i="2" s="1"/>
  <c r="S74" i="2"/>
  <c r="T74" i="2"/>
  <c r="U74" i="2"/>
  <c r="Q75" i="2"/>
  <c r="R75" i="2"/>
  <c r="S75" i="2"/>
  <c r="T75" i="2"/>
  <c r="T82" i="2" s="1"/>
  <c r="U75" i="2"/>
  <c r="Q76" i="2"/>
  <c r="R76" i="2"/>
  <c r="S76" i="2"/>
  <c r="T76" i="2"/>
  <c r="U76" i="2"/>
  <c r="Q77" i="2"/>
  <c r="R77" i="2"/>
  <c r="S77" i="2"/>
  <c r="T77" i="2"/>
  <c r="U77" i="2"/>
  <c r="Q78" i="2"/>
  <c r="R78" i="2"/>
  <c r="S78" i="2"/>
  <c r="T78" i="2"/>
  <c r="U78" i="2"/>
  <c r="Q79" i="2"/>
  <c r="R79" i="2"/>
  <c r="S79" i="2"/>
  <c r="T79" i="2"/>
  <c r="U79" i="2"/>
  <c r="U73" i="2"/>
  <c r="T73" i="2"/>
  <c r="S73" i="2"/>
  <c r="R73" i="2"/>
  <c r="Q73" i="2"/>
  <c r="G83" i="2"/>
  <c r="H83" i="2"/>
  <c r="I83" i="2"/>
  <c r="J83" i="2"/>
  <c r="F83" i="2"/>
  <c r="F48" i="2"/>
  <c r="V82" i="2"/>
  <c r="K82" i="2"/>
  <c r="G82" i="2"/>
  <c r="H82" i="2"/>
  <c r="I82" i="2"/>
  <c r="J82" i="2"/>
  <c r="F82" i="2"/>
  <c r="CZ11" i="19"/>
  <c r="DA11" i="19"/>
  <c r="DB11" i="19"/>
  <c r="DC11" i="19"/>
  <c r="DD11" i="19"/>
  <c r="DE11" i="19"/>
  <c r="DF11" i="19"/>
  <c r="DG11" i="19"/>
  <c r="DH11" i="19"/>
  <c r="DI11" i="19"/>
  <c r="DJ11" i="19"/>
  <c r="DK11" i="19"/>
  <c r="DL11" i="19"/>
  <c r="DM11" i="19"/>
  <c r="DN11" i="19"/>
  <c r="CY11" i="19"/>
  <c r="S82" i="2" l="1"/>
  <c r="U82" i="2"/>
  <c r="Q82" i="2"/>
  <c r="CZ10" i="19"/>
  <c r="DA10" i="19"/>
  <c r="DB10" i="19"/>
  <c r="DC10" i="19"/>
  <c r="DD10" i="19"/>
  <c r="DE10" i="19"/>
  <c r="DF10" i="19"/>
  <c r="DG10" i="19"/>
  <c r="DH10" i="19"/>
  <c r="DI10" i="19"/>
  <c r="DJ10" i="19"/>
  <c r="DK10" i="19"/>
  <c r="DL10" i="19"/>
  <c r="DM10" i="19"/>
  <c r="DN10" i="19"/>
  <c r="CY10" i="19"/>
  <c r="DN21" i="19"/>
  <c r="DM21" i="19"/>
  <c r="DL21" i="19"/>
  <c r="DK21" i="19"/>
  <c r="DJ21" i="19"/>
  <c r="DI21" i="19"/>
  <c r="DH21" i="19"/>
  <c r="DG21" i="19"/>
  <c r="DF21" i="19"/>
  <c r="DE21" i="19"/>
  <c r="DD21" i="19"/>
  <c r="DC21" i="19"/>
  <c r="DB21" i="19"/>
  <c r="DA21" i="19"/>
  <c r="CZ21" i="19"/>
  <c r="CY21" i="19"/>
  <c r="X99" i="20" l="1"/>
  <c r="Z84" i="20"/>
  <c r="C3" i="22" l="1"/>
  <c r="D3" i="22" s="1"/>
  <c r="E3" i="22" s="1"/>
  <c r="F3" i="22" s="1"/>
  <c r="G3" i="22" s="1"/>
  <c r="H3" i="22" s="1"/>
  <c r="I3" i="22" s="1"/>
  <c r="J3" i="22" s="1"/>
  <c r="K3" i="22" s="1"/>
  <c r="L3" i="22" s="1"/>
  <c r="M3" i="22" s="1"/>
  <c r="N3" i="22" s="1"/>
  <c r="O3" i="22" s="1"/>
  <c r="P3" i="22" s="1"/>
  <c r="Q3" i="22" s="1"/>
  <c r="R3" i="22" s="1"/>
  <c r="S3" i="22" s="1"/>
  <c r="T3" i="22" s="1"/>
  <c r="U3" i="22" s="1"/>
  <c r="V3" i="22" s="1"/>
  <c r="W3" i="22" s="1"/>
  <c r="X3" i="22" s="1"/>
  <c r="Y3" i="22" s="1"/>
  <c r="Z3" i="22" s="1"/>
  <c r="AA3" i="22" s="1"/>
  <c r="AB3" i="22" s="1"/>
  <c r="AC3" i="22" s="1"/>
  <c r="AD3" i="22" s="1"/>
  <c r="AE3" i="22" s="1"/>
  <c r="AF3" i="22" s="1"/>
  <c r="AG3" i="22" s="1"/>
  <c r="AH3" i="22" s="1"/>
  <c r="AI3" i="22" s="1"/>
  <c r="AJ3" i="22" s="1"/>
  <c r="AK3" i="22" s="1"/>
  <c r="AL3" i="22" s="1"/>
  <c r="AM3" i="22" s="1"/>
  <c r="AN3" i="22" s="1"/>
  <c r="AO3" i="22" s="1"/>
  <c r="AP3" i="22" s="1"/>
  <c r="AG30" i="19" l="1"/>
  <c r="D71" i="19" s="1"/>
  <c r="AH30" i="19"/>
  <c r="AI30" i="19"/>
  <c r="AJ30" i="19"/>
  <c r="AK30" i="19"/>
  <c r="AL30" i="19"/>
  <c r="AM30" i="19"/>
  <c r="J71" i="19" s="1"/>
  <c r="AN30" i="19"/>
  <c r="K71" i="19" s="1"/>
  <c r="AO30" i="19"/>
  <c r="L71" i="19" s="1"/>
  <c r="AP30" i="19"/>
  <c r="AQ30" i="19"/>
  <c r="AR30" i="19"/>
  <c r="O71" i="19" s="1"/>
  <c r="AS30" i="19"/>
  <c r="AT30" i="19"/>
  <c r="Q71" i="19" s="1"/>
  <c r="AU30" i="19"/>
  <c r="R71" i="19" s="1"/>
  <c r="AV30" i="19"/>
  <c r="S71" i="19" s="1"/>
  <c r="AW30" i="19"/>
  <c r="T71" i="19" s="1"/>
  <c r="AX30" i="19"/>
  <c r="AY30" i="19"/>
  <c r="AZ30" i="19"/>
  <c r="BA30" i="19"/>
  <c r="BB30" i="19"/>
  <c r="BC30" i="19"/>
  <c r="Z71" i="19" s="1"/>
  <c r="BD30" i="19"/>
  <c r="AA71" i="19" s="1"/>
  <c r="BE30" i="19"/>
  <c r="AB71" i="19" s="1"/>
  <c r="BF30" i="19"/>
  <c r="BG30" i="19"/>
  <c r="BH30" i="19"/>
  <c r="AE71" i="19" s="1"/>
  <c r="BI30" i="19"/>
  <c r="BJ30" i="19"/>
  <c r="AG71" i="19" s="1"/>
  <c r="BK30" i="19"/>
  <c r="AH71" i="19" s="1"/>
  <c r="BL30" i="19"/>
  <c r="AI71" i="19" s="1"/>
  <c r="BM30" i="19"/>
  <c r="AJ71" i="19" s="1"/>
  <c r="BN30" i="19"/>
  <c r="BO30" i="19"/>
  <c r="BP30" i="19"/>
  <c r="BQ30" i="19"/>
  <c r="BR30" i="19"/>
  <c r="AO71" i="19" s="1"/>
  <c r="BS30" i="19"/>
  <c r="AP71" i="19" s="1"/>
  <c r="BT30" i="19"/>
  <c r="AQ71" i="19" s="1"/>
  <c r="AF30" i="19"/>
  <c r="H70" i="19"/>
  <c r="I70" i="19"/>
  <c r="J70" i="19"/>
  <c r="P70" i="19"/>
  <c r="Q70" i="19"/>
  <c r="R70" i="19"/>
  <c r="X70" i="19"/>
  <c r="Y70" i="19"/>
  <c r="Z70" i="19"/>
  <c r="AF70" i="19"/>
  <c r="AG70" i="19"/>
  <c r="AH70" i="19"/>
  <c r="AN70" i="19"/>
  <c r="AO70" i="19"/>
  <c r="AP70" i="19"/>
  <c r="E71" i="19"/>
  <c r="F71" i="19"/>
  <c r="G71" i="19"/>
  <c r="H71" i="19"/>
  <c r="I71" i="19"/>
  <c r="M71" i="19"/>
  <c r="N71" i="19"/>
  <c r="P71" i="19"/>
  <c r="U71" i="19"/>
  <c r="V71" i="19"/>
  <c r="W71" i="19"/>
  <c r="X71" i="19"/>
  <c r="Y71" i="19"/>
  <c r="AC71" i="19"/>
  <c r="AD71" i="19"/>
  <c r="AF71" i="19"/>
  <c r="AK71" i="19"/>
  <c r="AL71" i="19"/>
  <c r="AM71" i="19"/>
  <c r="AN71" i="19"/>
  <c r="C71" i="19"/>
  <c r="C70" i="19"/>
  <c r="AG29" i="19"/>
  <c r="D70" i="19" s="1"/>
  <c r="AH29" i="19"/>
  <c r="E70" i="19" s="1"/>
  <c r="AI29" i="19"/>
  <c r="F70" i="19" s="1"/>
  <c r="AJ29" i="19"/>
  <c r="G70" i="19" s="1"/>
  <c r="AK29" i="19"/>
  <c r="AL29" i="19"/>
  <c r="AM29" i="19"/>
  <c r="AN29" i="19"/>
  <c r="K70" i="19" s="1"/>
  <c r="AO29" i="19"/>
  <c r="L70" i="19" s="1"/>
  <c r="AP29" i="19"/>
  <c r="M70" i="19" s="1"/>
  <c r="AQ29" i="19"/>
  <c r="N70" i="19" s="1"/>
  <c r="AR29" i="19"/>
  <c r="O70" i="19" s="1"/>
  <c r="AS29" i="19"/>
  <c r="AT29" i="19"/>
  <c r="AU29" i="19"/>
  <c r="AV29" i="19"/>
  <c r="S70" i="19" s="1"/>
  <c r="AW29" i="19"/>
  <c r="T70" i="19" s="1"/>
  <c r="AX29" i="19"/>
  <c r="U70" i="19" s="1"/>
  <c r="AY29" i="19"/>
  <c r="V70" i="19" s="1"/>
  <c r="AZ29" i="19"/>
  <c r="W70" i="19" s="1"/>
  <c r="BA29" i="19"/>
  <c r="BB29" i="19"/>
  <c r="BC29" i="19"/>
  <c r="BD29" i="19"/>
  <c r="AA70" i="19" s="1"/>
  <c r="BE29" i="19"/>
  <c r="AB70" i="19" s="1"/>
  <c r="BF29" i="19"/>
  <c r="AC70" i="19" s="1"/>
  <c r="BG29" i="19"/>
  <c r="AD70" i="19" s="1"/>
  <c r="BH29" i="19"/>
  <c r="AE70" i="19" s="1"/>
  <c r="BI29" i="19"/>
  <c r="BJ29" i="19"/>
  <c r="BK29" i="19"/>
  <c r="BL29" i="19"/>
  <c r="AI70" i="19" s="1"/>
  <c r="BM29" i="19"/>
  <c r="AJ70" i="19" s="1"/>
  <c r="BN29" i="19"/>
  <c r="AK70" i="19" s="1"/>
  <c r="BO29" i="19"/>
  <c r="AL70" i="19" s="1"/>
  <c r="BP29" i="19"/>
  <c r="AM70" i="19" s="1"/>
  <c r="BQ29" i="19"/>
  <c r="BR29" i="19"/>
  <c r="BS29" i="19"/>
  <c r="BT29" i="19"/>
  <c r="AQ70" i="19" s="1"/>
  <c r="AF29" i="19"/>
  <c r="X97" i="20" l="1"/>
  <c r="X96" i="20"/>
  <c r="X95" i="20"/>
  <c r="X94" i="20"/>
  <c r="X93" i="20"/>
  <c r="X92" i="20"/>
  <c r="X90" i="20" l="1"/>
  <c r="X87" i="20" l="1"/>
  <c r="F49" i="2" l="1"/>
  <c r="F50" i="2"/>
  <c r="F51" i="2"/>
  <c r="F52" i="2"/>
  <c r="F53" i="2"/>
  <c r="F54" i="2"/>
  <c r="I24" i="22" l="1"/>
  <c r="K24" i="22"/>
  <c r="M24" i="22"/>
  <c r="Q24" i="22"/>
  <c r="B9" i="22"/>
  <c r="E19" i="22"/>
  <c r="G19" i="22"/>
  <c r="I19" i="22"/>
  <c r="K19" i="22"/>
  <c r="M19" i="22"/>
  <c r="O19" i="22"/>
  <c r="Q19" i="22"/>
  <c r="S19" i="22"/>
  <c r="C19" i="22"/>
  <c r="B19" i="22" s="1"/>
  <c r="D18" i="22"/>
  <c r="E18" i="22" s="1"/>
  <c r="F18" i="22" s="1"/>
  <c r="G18" i="22" s="1"/>
  <c r="H18" i="22" s="1"/>
  <c r="I18" i="22" s="1"/>
  <c r="J18" i="22" s="1"/>
  <c r="K18" i="22" s="1"/>
  <c r="L18" i="22" s="1"/>
  <c r="M18" i="22" s="1"/>
  <c r="N18" i="22" s="1"/>
  <c r="O18" i="22" s="1"/>
  <c r="P18" i="22" s="1"/>
  <c r="Q18" i="22" s="1"/>
  <c r="R18" i="22" s="1"/>
  <c r="S18" i="22" s="1"/>
  <c r="T18" i="22" s="1"/>
  <c r="U18" i="22" s="1"/>
  <c r="V18" i="22" s="1"/>
  <c r="W18" i="22" s="1"/>
  <c r="X18" i="22" s="1"/>
  <c r="Y18" i="22" s="1"/>
  <c r="Z18" i="22" s="1"/>
  <c r="AA18" i="22" s="1"/>
  <c r="AB18" i="22" s="1"/>
  <c r="AC18" i="22" s="1"/>
  <c r="AD18" i="22" s="1"/>
  <c r="AE18" i="22" s="1"/>
  <c r="AF18" i="22" s="1"/>
  <c r="AG18" i="22" s="1"/>
  <c r="AH18" i="22" s="1"/>
  <c r="AI18" i="22" s="1"/>
  <c r="AJ18" i="22" s="1"/>
  <c r="AK18" i="22" s="1"/>
  <c r="AL18" i="22" s="1"/>
  <c r="AM18" i="22" s="1"/>
  <c r="AN18" i="22" s="1"/>
  <c r="AO18" i="22" s="1"/>
  <c r="AP18" i="22" s="1"/>
  <c r="D2" i="22"/>
  <c r="E2" i="22" s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Q2" i="22" s="1"/>
  <c r="R2" i="22" s="1"/>
  <c r="S2" i="22" s="1"/>
  <c r="T2" i="22" s="1"/>
  <c r="U2" i="22" s="1"/>
  <c r="V2" i="22" s="1"/>
  <c r="W2" i="22" s="1"/>
  <c r="X2" i="22" s="1"/>
  <c r="Y2" i="22" s="1"/>
  <c r="Z2" i="22" s="1"/>
  <c r="AA2" i="22" s="1"/>
  <c r="AB2" i="22" s="1"/>
  <c r="AC2" i="22" s="1"/>
  <c r="AD2" i="22" s="1"/>
  <c r="AE2" i="22" s="1"/>
  <c r="AF2" i="22" s="1"/>
  <c r="AG2" i="22" s="1"/>
  <c r="AH2" i="22" s="1"/>
  <c r="AI2" i="22" s="1"/>
  <c r="AJ2" i="22" s="1"/>
  <c r="AK2" i="22" s="1"/>
  <c r="AL2" i="22" s="1"/>
  <c r="AM2" i="22" s="1"/>
  <c r="AN2" i="22" s="1"/>
  <c r="AO2" i="22" s="1"/>
  <c r="AP2" i="22" s="1"/>
  <c r="O14" i="22"/>
  <c r="O24" i="22" s="1"/>
  <c r="E14" i="22"/>
  <c r="E24" i="22" s="1"/>
  <c r="G14" i="22"/>
  <c r="G24" i="22" s="1"/>
  <c r="I14" i="22"/>
  <c r="K14" i="22"/>
  <c r="M14" i="22"/>
  <c r="Q14" i="22"/>
  <c r="S14" i="22"/>
  <c r="S24" i="22" s="1"/>
  <c r="C14" i="22"/>
  <c r="C24" i="22" s="1"/>
  <c r="T9" i="22"/>
  <c r="T19" i="22" s="1"/>
  <c r="D8" i="22"/>
  <c r="E8" i="22" s="1"/>
  <c r="F8" i="22" s="1"/>
  <c r="G8" i="22" s="1"/>
  <c r="H8" i="22" s="1"/>
  <c r="I8" i="22" s="1"/>
  <c r="J8" i="22" s="1"/>
  <c r="K8" i="22" s="1"/>
  <c r="L8" i="22" s="1"/>
  <c r="M8" i="22" s="1"/>
  <c r="N8" i="22" s="1"/>
  <c r="O8" i="22" s="1"/>
  <c r="P8" i="22" s="1"/>
  <c r="Q8" i="22" s="1"/>
  <c r="R8" i="22" s="1"/>
  <c r="S8" i="22" s="1"/>
  <c r="T8" i="22" s="1"/>
  <c r="U8" i="22" s="1"/>
  <c r="V8" i="22" s="1"/>
  <c r="W8" i="22" s="1"/>
  <c r="X8" i="22" s="1"/>
  <c r="Y8" i="22" s="1"/>
  <c r="Z8" i="22" s="1"/>
  <c r="AA8" i="22" s="1"/>
  <c r="AB8" i="22" s="1"/>
  <c r="AC8" i="22" s="1"/>
  <c r="AD8" i="22" s="1"/>
  <c r="AE8" i="22" s="1"/>
  <c r="AF8" i="22" s="1"/>
  <c r="AG8" i="22" s="1"/>
  <c r="AH8" i="22" s="1"/>
  <c r="AI8" i="22" s="1"/>
  <c r="AJ8" i="22" s="1"/>
  <c r="AK8" i="22" s="1"/>
  <c r="AL8" i="22" s="1"/>
  <c r="AM8" i="22" s="1"/>
  <c r="AN8" i="22" s="1"/>
  <c r="AO8" i="22" s="1"/>
  <c r="AP8" i="22" s="1"/>
  <c r="B14" i="22" l="1"/>
  <c r="B24" i="22" s="1"/>
  <c r="U9" i="22"/>
  <c r="T14" i="22"/>
  <c r="T24" i="22" s="1"/>
  <c r="V9" i="22" l="1"/>
  <c r="U19" i="22"/>
  <c r="U14" i="22"/>
  <c r="U24" i="22" s="1"/>
  <c r="X83" i="20"/>
  <c r="X85" i="20"/>
  <c r="P57" i="20"/>
  <c r="Z54" i="20" s="1"/>
  <c r="AA54" i="20" s="1"/>
  <c r="AB54" i="20" s="1"/>
  <c r="AC54" i="20" s="1"/>
  <c r="AD54" i="20" s="1"/>
  <c r="AE54" i="20" s="1"/>
  <c r="AF54" i="20" s="1"/>
  <c r="AG54" i="20" s="1"/>
  <c r="AH54" i="20" s="1"/>
  <c r="AI54" i="20" s="1"/>
  <c r="AJ54" i="20" s="1"/>
  <c r="AK54" i="20" s="1"/>
  <c r="AL54" i="20" s="1"/>
  <c r="AM54" i="20" s="1"/>
  <c r="AN54" i="20" s="1"/>
  <c r="AO54" i="20" s="1"/>
  <c r="AP54" i="20" s="1"/>
  <c r="AQ54" i="20" s="1"/>
  <c r="AR54" i="20" s="1"/>
  <c r="AS54" i="20" s="1"/>
  <c r="AT54" i="20" s="1"/>
  <c r="U61" i="20"/>
  <c r="C11" i="20"/>
  <c r="C12" i="20"/>
  <c r="C14" i="20"/>
  <c r="C10" i="20"/>
  <c r="J25" i="20"/>
  <c r="E56" i="20"/>
  <c r="J29" i="20"/>
  <c r="J27" i="20"/>
  <c r="J26" i="20"/>
  <c r="W9" i="22" l="1"/>
  <c r="V14" i="22"/>
  <c r="V24" i="22" s="1"/>
  <c r="V19" i="22"/>
  <c r="X81" i="20"/>
  <c r="R81" i="20"/>
  <c r="T81" i="20" s="1"/>
  <c r="I81" i="20"/>
  <c r="I65" i="20"/>
  <c r="I66" i="20"/>
  <c r="I74" i="20"/>
  <c r="I67" i="20"/>
  <c r="I68" i="20"/>
  <c r="I69" i="20"/>
  <c r="I76" i="20"/>
  <c r="I70" i="20"/>
  <c r="I78" i="20"/>
  <c r="X9" i="22" l="1"/>
  <c r="W14" i="22"/>
  <c r="W24" i="22" s="1"/>
  <c r="W19" i="22"/>
  <c r="Y9" i="22" l="1"/>
  <c r="X19" i="22"/>
  <c r="X14" i="22"/>
  <c r="X24" i="22" s="1"/>
  <c r="C53" i="20"/>
  <c r="D53" i="20" s="1"/>
  <c r="E53" i="20" s="1"/>
  <c r="F53" i="20" s="1"/>
  <c r="G53" i="20" s="1"/>
  <c r="H53" i="20" s="1"/>
  <c r="I53" i="20" s="1"/>
  <c r="J53" i="20" s="1"/>
  <c r="K53" i="20" s="1"/>
  <c r="L53" i="20" s="1"/>
  <c r="M53" i="20" s="1"/>
  <c r="N53" i="20" s="1"/>
  <c r="O53" i="20" s="1"/>
  <c r="P53" i="20" s="1"/>
  <c r="Q53" i="20" s="1"/>
  <c r="R53" i="20" s="1"/>
  <c r="S53" i="20" s="1"/>
  <c r="T53" i="20" s="1"/>
  <c r="U53" i="20" s="1"/>
  <c r="V53" i="20" s="1"/>
  <c r="W53" i="20" s="1"/>
  <c r="X53" i="20" s="1"/>
  <c r="Y53" i="20" s="1"/>
  <c r="Z53" i="20" s="1"/>
  <c r="AA53" i="20" s="1"/>
  <c r="AB53" i="20" s="1"/>
  <c r="AC53" i="20" s="1"/>
  <c r="AD53" i="20" s="1"/>
  <c r="AE53" i="20" s="1"/>
  <c r="AF53" i="20" s="1"/>
  <c r="AG53" i="20" s="1"/>
  <c r="AH53" i="20" s="1"/>
  <c r="AI53" i="20" s="1"/>
  <c r="AJ53" i="20" s="1"/>
  <c r="AK53" i="20" s="1"/>
  <c r="AL53" i="20" s="1"/>
  <c r="AM53" i="20" s="1"/>
  <c r="AN53" i="20" s="1"/>
  <c r="AO53" i="20" s="1"/>
  <c r="AP53" i="20" s="1"/>
  <c r="AQ53" i="20" s="1"/>
  <c r="AR53" i="20" s="1"/>
  <c r="AS53" i="20" s="1"/>
  <c r="AT53" i="20" s="1"/>
  <c r="Z9" i="22" l="1"/>
  <c r="Y19" i="22"/>
  <c r="Y14" i="22"/>
  <c r="Y24" i="22" s="1"/>
  <c r="E40" i="2"/>
  <c r="D40" i="2"/>
  <c r="C40" i="2"/>
  <c r="B42" i="20"/>
  <c r="B41" i="20"/>
  <c r="B43" i="20"/>
  <c r="B44" i="20"/>
  <c r="B46" i="20"/>
  <c r="A43" i="20"/>
  <c r="A44" i="20"/>
  <c r="A45" i="20"/>
  <c r="A46" i="20"/>
  <c r="A42" i="20"/>
  <c r="C42" i="2" l="1"/>
  <c r="AA9" i="22"/>
  <c r="Z14" i="22"/>
  <c r="Z24" i="22" s="1"/>
  <c r="Z19" i="22"/>
  <c r="I9" i="21"/>
  <c r="I10" i="21"/>
  <c r="I11" i="21"/>
  <c r="I15" i="21"/>
  <c r="I16" i="21"/>
  <c r="I17" i="21"/>
  <c r="I18" i="21"/>
  <c r="I19" i="21"/>
  <c r="I5" i="21"/>
  <c r="I12" i="21" s="1"/>
  <c r="G8" i="21"/>
  <c r="G12" i="21"/>
  <c r="G10" i="21"/>
  <c r="G11" i="21"/>
  <c r="G13" i="21"/>
  <c r="G14" i="21"/>
  <c r="G15" i="21"/>
  <c r="G16" i="21"/>
  <c r="G17" i="21"/>
  <c r="G18" i="21"/>
  <c r="G19" i="21"/>
  <c r="G20" i="21"/>
  <c r="G9" i="21"/>
  <c r="I14" i="21" l="1"/>
  <c r="I8" i="21"/>
  <c r="K8" i="21" s="1"/>
  <c r="I13" i="21"/>
  <c r="AB9" i="22"/>
  <c r="AA19" i="22"/>
  <c r="AA14" i="22"/>
  <c r="AA24" i="22" s="1"/>
  <c r="I20" i="21"/>
  <c r="D33" i="3"/>
  <c r="E33" i="3"/>
  <c r="F33" i="3"/>
  <c r="J33" i="3"/>
  <c r="K33" i="3"/>
  <c r="L33" i="3"/>
  <c r="M33" i="3"/>
  <c r="D34" i="3"/>
  <c r="E34" i="3"/>
  <c r="F34" i="3"/>
  <c r="J34" i="3"/>
  <c r="K34" i="3"/>
  <c r="L34" i="3"/>
  <c r="M34" i="3"/>
  <c r="D35" i="3"/>
  <c r="E35" i="3"/>
  <c r="F35" i="3"/>
  <c r="J35" i="3"/>
  <c r="K35" i="3"/>
  <c r="L35" i="3"/>
  <c r="M35" i="3"/>
  <c r="D36" i="3"/>
  <c r="E36" i="3"/>
  <c r="F36" i="3"/>
  <c r="J36" i="3"/>
  <c r="K36" i="3"/>
  <c r="L36" i="3"/>
  <c r="M36" i="3"/>
  <c r="D37" i="3"/>
  <c r="E37" i="3"/>
  <c r="F37" i="3"/>
  <c r="J37" i="3"/>
  <c r="K37" i="3"/>
  <c r="L37" i="3"/>
  <c r="M37" i="3"/>
  <c r="C38" i="3"/>
  <c r="D38" i="3"/>
  <c r="E38" i="3"/>
  <c r="F38" i="3"/>
  <c r="G38" i="3"/>
  <c r="H38" i="3"/>
  <c r="I38" i="3"/>
  <c r="J38" i="3"/>
  <c r="K38" i="3"/>
  <c r="L38" i="3"/>
  <c r="M38" i="3"/>
  <c r="J39" i="3"/>
  <c r="K39" i="3"/>
  <c r="L39" i="3"/>
  <c r="M39" i="3"/>
  <c r="C40" i="3"/>
  <c r="D40" i="3"/>
  <c r="E40" i="3"/>
  <c r="F40" i="3"/>
  <c r="J40" i="3"/>
  <c r="K40" i="3"/>
  <c r="L40" i="3"/>
  <c r="M40" i="3"/>
  <c r="AC9" i="22" l="1"/>
  <c r="AB14" i="22"/>
  <c r="AB24" i="22" s="1"/>
  <c r="AB19" i="22"/>
  <c r="AV33" i="1"/>
  <c r="AD9" i="22" l="1"/>
  <c r="AC14" i="22"/>
  <c r="AC24" i="22" s="1"/>
  <c r="AC19" i="22"/>
  <c r="AF4" i="18"/>
  <c r="AG4" i="18"/>
  <c r="AI4" i="18"/>
  <c r="AI8" i="18" s="1"/>
  <c r="AK4" i="18"/>
  <c r="AK8" i="18" s="1"/>
  <c r="AF5" i="18"/>
  <c r="AG5" i="18"/>
  <c r="AH5" i="18"/>
  <c r="AI5" i="18"/>
  <c r="AJ5" i="18"/>
  <c r="AK5" i="18"/>
  <c r="AF6" i="18"/>
  <c r="AH6" i="18"/>
  <c r="AI6" i="18"/>
  <c r="AJ6" i="18"/>
  <c r="AK6" i="18"/>
  <c r="P15" i="18"/>
  <c r="AE6" i="18"/>
  <c r="AE5" i="18"/>
  <c r="AM5" i="18" s="1"/>
  <c r="AE4" i="18"/>
  <c r="AE8" i="18" s="1"/>
  <c r="AF8" i="18" l="1"/>
  <c r="AE9" i="22"/>
  <c r="AD14" i="22"/>
  <c r="AD24" i="22" s="1"/>
  <c r="AD19" i="22"/>
  <c r="C39" i="1"/>
  <c r="AF9" i="22" l="1"/>
  <c r="AE14" i="22"/>
  <c r="AE24" i="22" s="1"/>
  <c r="AE19" i="22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C53" i="1"/>
  <c r="AG9" i="22" l="1"/>
  <c r="AF19" i="22"/>
  <c r="AF14" i="22"/>
  <c r="AF24" i="22" s="1"/>
  <c r="C40" i="1"/>
  <c r="H40" i="1"/>
  <c r="M40" i="1"/>
  <c r="R40" i="1"/>
  <c r="AB40" i="1"/>
  <c r="H41" i="1"/>
  <c r="M41" i="1"/>
  <c r="R41" i="1"/>
  <c r="AB41" i="1"/>
  <c r="H39" i="1"/>
  <c r="M39" i="1"/>
  <c r="R39" i="1"/>
  <c r="AB39" i="1"/>
  <c r="C41" i="1"/>
  <c r="AH9" i="22" l="1"/>
  <c r="AG14" i="22"/>
  <c r="AG24" i="22" s="1"/>
  <c r="AG19" i="22"/>
  <c r="D6" i="20"/>
  <c r="C13" i="20" l="1"/>
  <c r="B45" i="20"/>
  <c r="AI9" i="22"/>
  <c r="AH19" i="22"/>
  <c r="AH14" i="22"/>
  <c r="AH24" i="22" s="1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C48" i="13"/>
  <c r="D47" i="13"/>
  <c r="E47" i="13" s="1"/>
  <c r="F47" i="13" s="1"/>
  <c r="G47" i="13" s="1"/>
  <c r="H47" i="13" s="1"/>
  <c r="I47" i="13" s="1"/>
  <c r="J47" i="13" s="1"/>
  <c r="K47" i="13" s="1"/>
  <c r="L47" i="13" s="1"/>
  <c r="M47" i="13" s="1"/>
  <c r="N47" i="13" s="1"/>
  <c r="O47" i="13" s="1"/>
  <c r="P47" i="13" s="1"/>
  <c r="Q47" i="13" s="1"/>
  <c r="R47" i="13" s="1"/>
  <c r="S47" i="13" s="1"/>
  <c r="T47" i="13" s="1"/>
  <c r="U47" i="13" s="1"/>
  <c r="V47" i="13" s="1"/>
  <c r="W47" i="13" s="1"/>
  <c r="X47" i="13" s="1"/>
  <c r="Y47" i="13" s="1"/>
  <c r="Z47" i="13" s="1"/>
  <c r="AA47" i="13" s="1"/>
  <c r="AB47" i="13" s="1"/>
  <c r="BM31" i="19"/>
  <c r="Q72" i="19" s="1"/>
  <c r="BN31" i="19"/>
  <c r="R72" i="19" s="1"/>
  <c r="BO31" i="19"/>
  <c r="S72" i="19" s="1"/>
  <c r="BP31" i="19"/>
  <c r="T72" i="19" s="1"/>
  <c r="BQ31" i="19"/>
  <c r="U72" i="19" s="1"/>
  <c r="BR31" i="19"/>
  <c r="V72" i="19" s="1"/>
  <c r="BS31" i="19"/>
  <c r="W72" i="19" s="1"/>
  <c r="BT31" i="19"/>
  <c r="X72" i="19" s="1"/>
  <c r="BM32" i="19"/>
  <c r="Q73" i="19" s="1"/>
  <c r="BN32" i="19"/>
  <c r="R73" i="19" s="1"/>
  <c r="BO32" i="19"/>
  <c r="S73" i="19" s="1"/>
  <c r="BP32" i="19"/>
  <c r="T73" i="19" s="1"/>
  <c r="BQ32" i="19"/>
  <c r="U73" i="19" s="1"/>
  <c r="BR32" i="19"/>
  <c r="V73" i="19" s="1"/>
  <c r="BS32" i="19"/>
  <c r="W73" i="19" s="1"/>
  <c r="BT32" i="19"/>
  <c r="X73" i="19" s="1"/>
  <c r="AY31" i="19"/>
  <c r="C72" i="19" s="1"/>
  <c r="AZ31" i="19"/>
  <c r="D72" i="19" s="1"/>
  <c r="BA31" i="19"/>
  <c r="E72" i="19" s="1"/>
  <c r="BB31" i="19"/>
  <c r="F72" i="19" s="1"/>
  <c r="BC31" i="19"/>
  <c r="G72" i="19" s="1"/>
  <c r="BD31" i="19"/>
  <c r="H72" i="19" s="1"/>
  <c r="BE31" i="19"/>
  <c r="I72" i="19" s="1"/>
  <c r="BF31" i="19"/>
  <c r="J72" i="19" s="1"/>
  <c r="BG31" i="19"/>
  <c r="K72" i="19" s="1"/>
  <c r="BH31" i="19"/>
  <c r="L72" i="19" s="1"/>
  <c r="BI31" i="19"/>
  <c r="M72" i="19" s="1"/>
  <c r="BJ31" i="19"/>
  <c r="N72" i="19" s="1"/>
  <c r="BK31" i="19"/>
  <c r="O72" i="19" s="1"/>
  <c r="BL31" i="19"/>
  <c r="P72" i="19" s="1"/>
  <c r="AY32" i="19"/>
  <c r="C73" i="19" s="1"/>
  <c r="AZ32" i="19"/>
  <c r="D73" i="19" s="1"/>
  <c r="BA32" i="19"/>
  <c r="E73" i="19" s="1"/>
  <c r="BB32" i="19"/>
  <c r="F73" i="19" s="1"/>
  <c r="BC32" i="19"/>
  <c r="G73" i="19" s="1"/>
  <c r="BD32" i="19"/>
  <c r="H73" i="19" s="1"/>
  <c r="BE32" i="19"/>
  <c r="I73" i="19" s="1"/>
  <c r="BF32" i="19"/>
  <c r="J73" i="19" s="1"/>
  <c r="BG32" i="19"/>
  <c r="K73" i="19" s="1"/>
  <c r="BH32" i="19"/>
  <c r="L73" i="19" s="1"/>
  <c r="BI32" i="19"/>
  <c r="M73" i="19" s="1"/>
  <c r="BJ32" i="19"/>
  <c r="N73" i="19" s="1"/>
  <c r="BK32" i="19"/>
  <c r="O73" i="19" s="1"/>
  <c r="BL32" i="19"/>
  <c r="P73" i="19" s="1"/>
  <c r="C15" i="19"/>
  <c r="E26" i="19"/>
  <c r="F26" i="19" s="1"/>
  <c r="G26" i="19" s="1"/>
  <c r="H26" i="19" s="1"/>
  <c r="I26" i="19" s="1"/>
  <c r="J26" i="19" s="1"/>
  <c r="K26" i="19" s="1"/>
  <c r="L26" i="19" s="1"/>
  <c r="M26" i="19" s="1"/>
  <c r="N26" i="19" s="1"/>
  <c r="O26" i="19" s="1"/>
  <c r="P26" i="19" s="1"/>
  <c r="Q26" i="19" s="1"/>
  <c r="R26" i="19" s="1"/>
  <c r="S26" i="19" s="1"/>
  <c r="T26" i="19" s="1"/>
  <c r="U26" i="19" s="1"/>
  <c r="V26" i="19" s="1"/>
  <c r="W26" i="19" s="1"/>
  <c r="X26" i="19" s="1"/>
  <c r="Y26" i="19" s="1"/>
  <c r="Z26" i="19" s="1"/>
  <c r="AA26" i="19" s="1"/>
  <c r="AB26" i="19" s="1"/>
  <c r="AC26" i="19" s="1"/>
  <c r="AD26" i="19" s="1"/>
  <c r="AE26" i="19" s="1"/>
  <c r="AF26" i="19" s="1"/>
  <c r="AG26" i="19" s="1"/>
  <c r="AH26" i="19" s="1"/>
  <c r="AI26" i="19" s="1"/>
  <c r="AJ26" i="19" s="1"/>
  <c r="D26" i="19"/>
  <c r="D14" i="19"/>
  <c r="E14" i="19" s="1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Q14" i="19" s="1"/>
  <c r="R14" i="19" s="1"/>
  <c r="S14" i="19" s="1"/>
  <c r="T14" i="19" s="1"/>
  <c r="U14" i="19" s="1"/>
  <c r="V14" i="19" s="1"/>
  <c r="W14" i="19" s="1"/>
  <c r="X14" i="19" s="1"/>
  <c r="Y14" i="19" s="1"/>
  <c r="Z14" i="19" s="1"/>
  <c r="AA14" i="19" s="1"/>
  <c r="AB14" i="19" s="1"/>
  <c r="AC14" i="19" s="1"/>
  <c r="AD14" i="19" s="1"/>
  <c r="AE14" i="19" s="1"/>
  <c r="AF14" i="19" s="1"/>
  <c r="AG14" i="19" s="1"/>
  <c r="AH14" i="19" s="1"/>
  <c r="AI14" i="19" s="1"/>
  <c r="AJ14" i="19" s="1"/>
  <c r="AK14" i="19" s="1"/>
  <c r="AL14" i="19" s="1"/>
  <c r="AM14" i="19" s="1"/>
  <c r="AN14" i="19" s="1"/>
  <c r="AO14" i="19" s="1"/>
  <c r="AP14" i="19" s="1"/>
  <c r="AQ14" i="19" s="1"/>
  <c r="AR14" i="19" s="1"/>
  <c r="AS14" i="19" s="1"/>
  <c r="AT14" i="19" s="1"/>
  <c r="AU14" i="19" s="1"/>
  <c r="AV14" i="19" s="1"/>
  <c r="AW14" i="19" s="1"/>
  <c r="AX14" i="19" s="1"/>
  <c r="AY14" i="19" s="1"/>
  <c r="AZ14" i="19" s="1"/>
  <c r="BA14" i="19" s="1"/>
  <c r="BB14" i="19" s="1"/>
  <c r="BC14" i="19" s="1"/>
  <c r="BD14" i="19" s="1"/>
  <c r="BE14" i="19" s="1"/>
  <c r="BF14" i="19" s="1"/>
  <c r="BG14" i="19" s="1"/>
  <c r="BH14" i="19" s="1"/>
  <c r="BI14" i="19" s="1"/>
  <c r="BJ14" i="19" s="1"/>
  <c r="BK14" i="19" s="1"/>
  <c r="BL14" i="19" s="1"/>
  <c r="BM14" i="19" s="1"/>
  <c r="BN14" i="19" s="1"/>
  <c r="BO14" i="19" s="1"/>
  <c r="BP14" i="19" s="1"/>
  <c r="BQ14" i="19" s="1"/>
  <c r="BR14" i="19" s="1"/>
  <c r="BS14" i="19" s="1"/>
  <c r="BT14" i="19" s="1"/>
  <c r="BU14" i="19" s="1"/>
  <c r="BV14" i="19" s="1"/>
  <c r="BW14" i="19" s="1"/>
  <c r="BX14" i="19" s="1"/>
  <c r="BY14" i="19" s="1"/>
  <c r="BZ14" i="19" s="1"/>
  <c r="CA14" i="19" s="1"/>
  <c r="CB14" i="19" s="1"/>
  <c r="CC14" i="19" s="1"/>
  <c r="CD14" i="19" s="1"/>
  <c r="CE14" i="19" s="1"/>
  <c r="CF14" i="19" s="1"/>
  <c r="CG14" i="19" s="1"/>
  <c r="CH14" i="19" s="1"/>
  <c r="CI14" i="19" s="1"/>
  <c r="CJ14" i="19" s="1"/>
  <c r="CK14" i="19" s="1"/>
  <c r="CL14" i="19" s="1"/>
  <c r="CM14" i="19" s="1"/>
  <c r="CN14" i="19" s="1"/>
  <c r="CO14" i="19" s="1"/>
  <c r="CP14" i="19" s="1"/>
  <c r="CQ14" i="19" s="1"/>
  <c r="CR14" i="19" s="1"/>
  <c r="CS14" i="19" s="1"/>
  <c r="CT14" i="19" s="1"/>
  <c r="CU14" i="19" s="1"/>
  <c r="CV14" i="19" s="1"/>
  <c r="CW14" i="19" s="1"/>
  <c r="CX14" i="19" s="1"/>
  <c r="CY14" i="19" s="1"/>
  <c r="CZ14" i="19" s="1"/>
  <c r="DA14" i="19" s="1"/>
  <c r="DB14" i="19" s="1"/>
  <c r="DC14" i="19" s="1"/>
  <c r="DD14" i="19" s="1"/>
  <c r="DE14" i="19" s="1"/>
  <c r="DF14" i="19" s="1"/>
  <c r="DG14" i="19" s="1"/>
  <c r="DH14" i="19" s="1"/>
  <c r="DI14" i="19" s="1"/>
  <c r="DJ14" i="19" s="1"/>
  <c r="DK14" i="19" s="1"/>
  <c r="DL14" i="19" s="1"/>
  <c r="DM14" i="19" s="1"/>
  <c r="DN14" i="19" s="1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AQ15" i="19"/>
  <c r="AR15" i="19"/>
  <c r="AS15" i="19"/>
  <c r="AT15" i="19"/>
  <c r="AU15" i="19"/>
  <c r="AV15" i="19"/>
  <c r="AW15" i="19"/>
  <c r="AX15" i="19"/>
  <c r="AY15" i="19"/>
  <c r="AZ15" i="19"/>
  <c r="BA15" i="19"/>
  <c r="BB15" i="19"/>
  <c r="BC15" i="19"/>
  <c r="BD15" i="19"/>
  <c r="BE15" i="19"/>
  <c r="BF15" i="19"/>
  <c r="BG15" i="19"/>
  <c r="BH15" i="19"/>
  <c r="BI15" i="19"/>
  <c r="BJ15" i="19"/>
  <c r="BK15" i="19"/>
  <c r="BL15" i="19"/>
  <c r="BM15" i="19"/>
  <c r="BN15" i="19"/>
  <c r="BO15" i="19"/>
  <c r="BP15" i="19"/>
  <c r="BQ15" i="19"/>
  <c r="BR15" i="19"/>
  <c r="BS15" i="19"/>
  <c r="BT15" i="19"/>
  <c r="BU15" i="19"/>
  <c r="BV15" i="19"/>
  <c r="BW15" i="19"/>
  <c r="BX15" i="19"/>
  <c r="BY15" i="19"/>
  <c r="BZ15" i="19"/>
  <c r="CA15" i="19"/>
  <c r="CB15" i="19"/>
  <c r="CC15" i="19"/>
  <c r="CD15" i="19"/>
  <c r="CE15" i="19"/>
  <c r="CF15" i="19"/>
  <c r="CG15" i="19"/>
  <c r="CH15" i="19"/>
  <c r="CI15" i="19"/>
  <c r="CJ15" i="19"/>
  <c r="CK15" i="19"/>
  <c r="CL15" i="19"/>
  <c r="CM15" i="19"/>
  <c r="CN15" i="19"/>
  <c r="CO15" i="19"/>
  <c r="CP15" i="19"/>
  <c r="CQ15" i="19"/>
  <c r="CR15" i="19"/>
  <c r="CS15" i="19"/>
  <c r="CT15" i="19"/>
  <c r="CU15" i="19"/>
  <c r="CV15" i="19"/>
  <c r="CW15" i="19"/>
  <c r="CX15" i="19"/>
  <c r="CY15" i="19"/>
  <c r="CZ15" i="19"/>
  <c r="DA15" i="19"/>
  <c r="DB15" i="19"/>
  <c r="DC15" i="19"/>
  <c r="DD15" i="19"/>
  <c r="DE15" i="19"/>
  <c r="DF15" i="19"/>
  <c r="DG15" i="19"/>
  <c r="DH15" i="19"/>
  <c r="DI15" i="19"/>
  <c r="DJ15" i="19"/>
  <c r="DK15" i="19"/>
  <c r="DL15" i="19"/>
  <c r="DM15" i="19"/>
  <c r="DN15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AI16" i="19"/>
  <c r="AJ16" i="19"/>
  <c r="AK16" i="19"/>
  <c r="AL16" i="19"/>
  <c r="AM16" i="19"/>
  <c r="AN16" i="19"/>
  <c r="AO16" i="19"/>
  <c r="AP16" i="19"/>
  <c r="AQ16" i="19"/>
  <c r="AR16" i="19"/>
  <c r="AS16" i="19"/>
  <c r="AT16" i="19"/>
  <c r="AU16" i="19"/>
  <c r="AV16" i="19"/>
  <c r="AW16" i="19"/>
  <c r="AX16" i="19"/>
  <c r="AY16" i="19"/>
  <c r="AZ16" i="19"/>
  <c r="BA16" i="19"/>
  <c r="BB16" i="19"/>
  <c r="BC16" i="19"/>
  <c r="BD16" i="19"/>
  <c r="BE16" i="19"/>
  <c r="BF16" i="19"/>
  <c r="BG16" i="19"/>
  <c r="BH16" i="19"/>
  <c r="BI16" i="19"/>
  <c r="BJ16" i="19"/>
  <c r="BK16" i="19"/>
  <c r="BL16" i="19"/>
  <c r="BM16" i="19"/>
  <c r="BN16" i="19"/>
  <c r="BO16" i="19"/>
  <c r="BP16" i="19"/>
  <c r="BQ16" i="19"/>
  <c r="BR16" i="19"/>
  <c r="BS16" i="19"/>
  <c r="BT16" i="19"/>
  <c r="BU16" i="19"/>
  <c r="BV16" i="19"/>
  <c r="BW16" i="19"/>
  <c r="BX16" i="19"/>
  <c r="BY16" i="19"/>
  <c r="BZ16" i="19"/>
  <c r="CA16" i="19"/>
  <c r="CB16" i="19"/>
  <c r="CC16" i="19"/>
  <c r="CD16" i="19"/>
  <c r="CE16" i="19"/>
  <c r="CF16" i="19"/>
  <c r="CG16" i="19"/>
  <c r="CH16" i="19"/>
  <c r="CI16" i="19"/>
  <c r="CJ16" i="19"/>
  <c r="CK16" i="19"/>
  <c r="CL16" i="19"/>
  <c r="CM16" i="19"/>
  <c r="CN16" i="19"/>
  <c r="CO16" i="19"/>
  <c r="CP16" i="19"/>
  <c r="CQ16" i="19"/>
  <c r="CR16" i="19"/>
  <c r="CS16" i="19"/>
  <c r="CT16" i="19"/>
  <c r="CU16" i="19"/>
  <c r="CV16" i="19"/>
  <c r="CW16" i="19"/>
  <c r="CX16" i="19"/>
  <c r="CY16" i="19"/>
  <c r="CZ16" i="19"/>
  <c r="DA16" i="19"/>
  <c r="DB16" i="19"/>
  <c r="DC16" i="19"/>
  <c r="DD16" i="19"/>
  <c r="DE16" i="19"/>
  <c r="DF16" i="19"/>
  <c r="DG16" i="19"/>
  <c r="DH16" i="19"/>
  <c r="DI16" i="19"/>
  <c r="DJ16" i="19"/>
  <c r="DK16" i="19"/>
  <c r="DL16" i="19"/>
  <c r="DM16" i="19"/>
  <c r="DN16" i="19"/>
  <c r="C16" i="19"/>
  <c r="CM29" i="19" l="1"/>
  <c r="CM28" i="19"/>
  <c r="AJ9" i="22"/>
  <c r="AI14" i="22"/>
  <c r="AI24" i="22" s="1"/>
  <c r="AI19" i="22"/>
  <c r="AK26" i="19"/>
  <c r="AL26" i="19" s="1"/>
  <c r="AM26" i="19" s="1"/>
  <c r="AN26" i="19" s="1"/>
  <c r="AO26" i="19" s="1"/>
  <c r="AP26" i="19" s="1"/>
  <c r="AQ26" i="19" s="1"/>
  <c r="AR26" i="19" s="1"/>
  <c r="AS26" i="19" s="1"/>
  <c r="AT26" i="19" s="1"/>
  <c r="AU26" i="19" s="1"/>
  <c r="AV26" i="19" s="1"/>
  <c r="AW26" i="19" s="1"/>
  <c r="AX26" i="19" s="1"/>
  <c r="AY26" i="19" s="1"/>
  <c r="AZ26" i="19" s="1"/>
  <c r="BA26" i="19" s="1"/>
  <c r="BB26" i="19" s="1"/>
  <c r="BC26" i="19" s="1"/>
  <c r="BD26" i="19" s="1"/>
  <c r="BE26" i="19" s="1"/>
  <c r="BF26" i="19" s="1"/>
  <c r="BG26" i="19" s="1"/>
  <c r="BH26" i="19" s="1"/>
  <c r="BI26" i="19" s="1"/>
  <c r="BJ26" i="19" s="1"/>
  <c r="BK26" i="19" s="1"/>
  <c r="BL26" i="19" s="1"/>
  <c r="BM26" i="19" s="1"/>
  <c r="BN26" i="19" s="1"/>
  <c r="BO26" i="19" s="1"/>
  <c r="BP26" i="19" s="1"/>
  <c r="BQ26" i="19" s="1"/>
  <c r="BR26" i="19" s="1"/>
  <c r="BS26" i="19" s="1"/>
  <c r="BT26" i="19" s="1"/>
  <c r="D40" i="13"/>
  <c r="E40" i="13" s="1"/>
  <c r="F40" i="13" s="1"/>
  <c r="G40" i="13" s="1"/>
  <c r="H40" i="13" s="1"/>
  <c r="I40" i="13" s="1"/>
  <c r="J40" i="13" s="1"/>
  <c r="K40" i="13" s="1"/>
  <c r="L40" i="13" s="1"/>
  <c r="M40" i="13" s="1"/>
  <c r="N40" i="13" s="1"/>
  <c r="O40" i="13" s="1"/>
  <c r="P40" i="13" s="1"/>
  <c r="Q40" i="13" s="1"/>
  <c r="R40" i="13" s="1"/>
  <c r="AK9" i="22" l="1"/>
  <c r="AJ19" i="22"/>
  <c r="AJ14" i="22"/>
  <c r="AJ24" i="22" s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M34" i="1"/>
  <c r="AN34" i="1"/>
  <c r="AO34" i="1"/>
  <c r="AP34" i="1"/>
  <c r="AQ34" i="1"/>
  <c r="AR34" i="1"/>
  <c r="AS34" i="1"/>
  <c r="AT34" i="1"/>
  <c r="AU34" i="1"/>
  <c r="C34" i="1"/>
  <c r="AV32" i="1"/>
  <c r="AV31" i="1"/>
  <c r="AL9" i="22" l="1"/>
  <c r="AK19" i="22"/>
  <c r="AK14" i="22"/>
  <c r="AK24" i="22" s="1"/>
  <c r="T55" i="18"/>
  <c r="T39" i="18"/>
  <c r="T38" i="18"/>
  <c r="T54" i="18"/>
  <c r="T37" i="18"/>
  <c r="T53" i="18"/>
  <c r="T52" i="18"/>
  <c r="T51" i="18"/>
  <c r="T56" i="18"/>
  <c r="T50" i="18"/>
  <c r="T35" i="18"/>
  <c r="T36" i="18"/>
  <c r="T40" i="18"/>
  <c r="T34" i="18"/>
  <c r="AM9" i="22" l="1"/>
  <c r="AL14" i="22"/>
  <c r="AL24" i="22" s="1"/>
  <c r="AL19" i="22"/>
  <c r="T46" i="18"/>
  <c r="T61" i="18"/>
  <c r="AN9" i="22" l="1"/>
  <c r="AM14" i="22"/>
  <c r="AM24" i="22" s="1"/>
  <c r="AM19" i="22"/>
  <c r="F9" i="3"/>
  <c r="F39" i="3" s="1"/>
  <c r="D9" i="3"/>
  <c r="D39" i="3" s="1"/>
  <c r="C18" i="3"/>
  <c r="F18" i="3" s="1"/>
  <c r="G22" i="3"/>
  <c r="E9" i="3" s="1"/>
  <c r="E39" i="3" s="1"/>
  <c r="AO9" i="22" l="1"/>
  <c r="AN19" i="22"/>
  <c r="AN14" i="22"/>
  <c r="AN24" i="22" s="1"/>
  <c r="H18" i="3"/>
  <c r="E18" i="3"/>
  <c r="G18" i="3"/>
  <c r="AP9" i="22" l="1"/>
  <c r="AO19" i="22"/>
  <c r="AO14" i="22"/>
  <c r="AO24" i="22" s="1"/>
  <c r="AA20" i="18"/>
  <c r="AA21" i="18"/>
  <c r="AA22" i="18"/>
  <c r="AA23" i="18"/>
  <c r="AA24" i="18"/>
  <c r="AA25" i="18"/>
  <c r="AD22" i="18" s="1"/>
  <c r="AA19" i="18"/>
  <c r="AD21" i="18" s="1"/>
  <c r="Y5" i="18"/>
  <c r="Y7" i="18"/>
  <c r="Y4" i="18"/>
  <c r="X5" i="18"/>
  <c r="X7" i="18"/>
  <c r="X4" i="18"/>
  <c r="AP14" i="22" l="1"/>
  <c r="AP24" i="22" s="1"/>
  <c r="AP19" i="22"/>
  <c r="AB5" i="18"/>
  <c r="AA29" i="18"/>
  <c r="AD20" i="18"/>
  <c r="Q15" i="18"/>
  <c r="R15" i="18"/>
  <c r="T15" i="18"/>
  <c r="V15" i="18"/>
  <c r="U8" i="18" l="1"/>
  <c r="S9" i="18"/>
  <c r="S8" i="18"/>
  <c r="R11" i="18"/>
  <c r="X9" i="18" l="1"/>
  <c r="Y9" i="18"/>
  <c r="AG6" i="18"/>
  <c r="Y11" i="18"/>
  <c r="AB6" i="18" s="1"/>
  <c r="X11" i="18"/>
  <c r="AH4" i="18"/>
  <c r="X8" i="18"/>
  <c r="X15" i="18" s="1"/>
  <c r="Y8" i="18"/>
  <c r="S15" i="18"/>
  <c r="AJ4" i="18"/>
  <c r="AJ8" i="18" s="1"/>
  <c r="U15" i="18"/>
  <c r="F77" i="18"/>
  <c r="E77" i="18"/>
  <c r="D77" i="18"/>
  <c r="C77" i="18"/>
  <c r="C11" i="18"/>
  <c r="D61" i="18"/>
  <c r="I61" i="18"/>
  <c r="H61" i="18"/>
  <c r="C61" i="18"/>
  <c r="I47" i="18"/>
  <c r="H47" i="18"/>
  <c r="D47" i="18"/>
  <c r="C47" i="18"/>
  <c r="D34" i="18"/>
  <c r="C34" i="18"/>
  <c r="T94" i="18"/>
  <c r="U94" i="18"/>
  <c r="V94" i="18"/>
  <c r="S94" i="18"/>
  <c r="K92" i="18"/>
  <c r="N92" i="18"/>
  <c r="M92" i="18"/>
  <c r="L92" i="18"/>
  <c r="D92" i="18"/>
  <c r="E92" i="18"/>
  <c r="F92" i="18"/>
  <c r="C92" i="18"/>
  <c r="I21" i="18"/>
  <c r="H21" i="18"/>
  <c r="D21" i="18"/>
  <c r="C21" i="18"/>
  <c r="AH8" i="18" l="1"/>
  <c r="AM4" i="18"/>
  <c r="AM6" i="18"/>
  <c r="AG8" i="18"/>
  <c r="AB4" i="18"/>
  <c r="Y15" i="18"/>
  <c r="AN21" i="17"/>
  <c r="AO21" i="17" s="1"/>
  <c r="AP21" i="17" s="1"/>
  <c r="AQ21" i="17" s="1"/>
  <c r="AR21" i="17" s="1"/>
  <c r="AS21" i="17" s="1"/>
  <c r="AT21" i="17" s="1"/>
  <c r="AU21" i="17" s="1"/>
  <c r="AV21" i="17" s="1"/>
  <c r="AW21" i="17" s="1"/>
  <c r="AN20" i="17"/>
  <c r="AO20" i="17" s="1"/>
  <c r="AP20" i="17" s="1"/>
  <c r="AQ20" i="17" s="1"/>
  <c r="AR20" i="17" s="1"/>
  <c r="AS20" i="17" s="1"/>
  <c r="AT20" i="17" s="1"/>
  <c r="AU20" i="17" s="1"/>
  <c r="AV20" i="17" s="1"/>
  <c r="AW20" i="17" s="1"/>
  <c r="AN19" i="17"/>
  <c r="AO19" i="17" s="1"/>
  <c r="AP19" i="17" s="1"/>
  <c r="AQ19" i="17" s="1"/>
  <c r="AR19" i="17" s="1"/>
  <c r="AS19" i="17" s="1"/>
  <c r="AT19" i="17" s="1"/>
  <c r="AU19" i="17" s="1"/>
  <c r="AV19" i="17" s="1"/>
  <c r="AW19" i="17" s="1"/>
  <c r="AN18" i="17"/>
  <c r="AO18" i="17" s="1"/>
  <c r="AP18" i="17" s="1"/>
  <c r="AQ18" i="17" s="1"/>
  <c r="AR18" i="17" s="1"/>
  <c r="AS18" i="17" s="1"/>
  <c r="AT18" i="17" s="1"/>
  <c r="AU18" i="17" s="1"/>
  <c r="AV18" i="17" s="1"/>
  <c r="AW18" i="17" s="1"/>
  <c r="AN17" i="17"/>
  <c r="AO17" i="17" s="1"/>
  <c r="AP17" i="17" s="1"/>
  <c r="AQ17" i="17" s="1"/>
  <c r="AR17" i="17" s="1"/>
  <c r="AS17" i="17" s="1"/>
  <c r="AT17" i="17" s="1"/>
  <c r="AU17" i="17" s="1"/>
  <c r="AV17" i="17" s="1"/>
  <c r="AW17" i="17" s="1"/>
  <c r="AN16" i="17"/>
  <c r="AO16" i="17" s="1"/>
  <c r="AP16" i="17" s="1"/>
  <c r="AQ16" i="17" s="1"/>
  <c r="AR16" i="17" s="1"/>
  <c r="AS16" i="17" s="1"/>
  <c r="AT16" i="17" s="1"/>
  <c r="AU16" i="17" s="1"/>
  <c r="AV16" i="17" s="1"/>
  <c r="AW16" i="17" s="1"/>
  <c r="AN15" i="17"/>
  <c r="AO15" i="17" s="1"/>
  <c r="AP15" i="17" s="1"/>
  <c r="AQ15" i="17" s="1"/>
  <c r="AR15" i="17" s="1"/>
  <c r="AS15" i="17" s="1"/>
  <c r="AT15" i="17" s="1"/>
  <c r="AU15" i="17" s="1"/>
  <c r="AV15" i="17" s="1"/>
  <c r="AW15" i="17" s="1"/>
  <c r="AN14" i="17"/>
  <c r="AO14" i="17" s="1"/>
  <c r="AP14" i="17" s="1"/>
  <c r="AQ14" i="17" s="1"/>
  <c r="AR14" i="17" s="1"/>
  <c r="AS14" i="17" s="1"/>
  <c r="AT14" i="17" s="1"/>
  <c r="AU14" i="17" s="1"/>
  <c r="AV14" i="17" s="1"/>
  <c r="AD14" i="17"/>
  <c r="AE14" i="17" s="1"/>
  <c r="AF14" i="17" s="1"/>
  <c r="AG14" i="17" s="1"/>
  <c r="AH14" i="17" s="1"/>
  <c r="AI14" i="17" s="1"/>
  <c r="AJ14" i="17" s="1"/>
  <c r="AK14" i="17" s="1"/>
  <c r="AL14" i="17" s="1"/>
  <c r="T14" i="17"/>
  <c r="U14" i="17" s="1"/>
  <c r="V14" i="17" s="1"/>
  <c r="W14" i="17" s="1"/>
  <c r="X14" i="17" s="1"/>
  <c r="Y14" i="17" s="1"/>
  <c r="Z14" i="17" s="1"/>
  <c r="AA14" i="17" s="1"/>
  <c r="AB14" i="17" s="1"/>
  <c r="J14" i="17"/>
  <c r="K14" i="17" s="1"/>
  <c r="L14" i="17" s="1"/>
  <c r="M14" i="17" s="1"/>
  <c r="N14" i="17" s="1"/>
  <c r="O14" i="17" s="1"/>
  <c r="P14" i="17" s="1"/>
  <c r="Q14" i="17" s="1"/>
  <c r="R14" i="17" s="1"/>
  <c r="E14" i="17"/>
  <c r="F14" i="17" s="1"/>
  <c r="G14" i="17" s="1"/>
  <c r="H14" i="17" s="1"/>
  <c r="AM8" i="18" l="1"/>
  <c r="AN5" i="17"/>
  <c r="AO5" i="17" s="1"/>
  <c r="AP5" i="17" s="1"/>
  <c r="AQ5" i="17" s="1"/>
  <c r="AR5" i="17" s="1"/>
  <c r="AS5" i="17" s="1"/>
  <c r="AT5" i="17" s="1"/>
  <c r="AU5" i="17" s="1"/>
  <c r="AV5" i="17" s="1"/>
  <c r="AW5" i="17" s="1"/>
  <c r="AN6" i="17"/>
  <c r="AO6" i="17" s="1"/>
  <c r="AP6" i="17" s="1"/>
  <c r="AQ6" i="17" s="1"/>
  <c r="AR6" i="17" s="1"/>
  <c r="AS6" i="17" s="1"/>
  <c r="AT6" i="17" s="1"/>
  <c r="AU6" i="17" s="1"/>
  <c r="AV6" i="17" s="1"/>
  <c r="AW6" i="17" s="1"/>
  <c r="AN7" i="17"/>
  <c r="AO7" i="17" s="1"/>
  <c r="AP7" i="17" s="1"/>
  <c r="AQ7" i="17" s="1"/>
  <c r="AR7" i="17" s="1"/>
  <c r="AS7" i="17" s="1"/>
  <c r="AT7" i="17" s="1"/>
  <c r="AU7" i="17" s="1"/>
  <c r="AV7" i="17" s="1"/>
  <c r="AW7" i="17" s="1"/>
  <c r="AN8" i="17"/>
  <c r="AO8" i="17" s="1"/>
  <c r="AP8" i="17" s="1"/>
  <c r="AQ8" i="17" s="1"/>
  <c r="AR8" i="17" s="1"/>
  <c r="AS8" i="17" s="1"/>
  <c r="AT8" i="17" s="1"/>
  <c r="AU8" i="17" s="1"/>
  <c r="AV8" i="17" s="1"/>
  <c r="AW8" i="17" s="1"/>
  <c r="AN9" i="17"/>
  <c r="AO9" i="17" s="1"/>
  <c r="AP9" i="17" s="1"/>
  <c r="AQ9" i="17" s="1"/>
  <c r="AR9" i="17" s="1"/>
  <c r="AS9" i="17" s="1"/>
  <c r="AT9" i="17" s="1"/>
  <c r="AU9" i="17" s="1"/>
  <c r="AV9" i="17" s="1"/>
  <c r="AW9" i="17" s="1"/>
  <c r="AN10" i="17"/>
  <c r="AO10" i="17" s="1"/>
  <c r="AP10" i="17" s="1"/>
  <c r="AQ10" i="17" s="1"/>
  <c r="AR10" i="17" s="1"/>
  <c r="AS10" i="17" s="1"/>
  <c r="AT10" i="17" s="1"/>
  <c r="AU10" i="17" s="1"/>
  <c r="AV10" i="17" s="1"/>
  <c r="AW10" i="17" s="1"/>
  <c r="AN4" i="17"/>
  <c r="AO4" i="17" s="1"/>
  <c r="AP4" i="17" s="1"/>
  <c r="AQ4" i="17" s="1"/>
  <c r="AR4" i="17" s="1"/>
  <c r="AS4" i="17" s="1"/>
  <c r="AT4" i="17" s="1"/>
  <c r="AU4" i="17" s="1"/>
  <c r="AV4" i="17" s="1"/>
  <c r="AW4" i="17" s="1"/>
  <c r="AN3" i="17"/>
  <c r="AO3" i="17" s="1"/>
  <c r="AP3" i="17" s="1"/>
  <c r="AQ3" i="17" s="1"/>
  <c r="AR3" i="17" s="1"/>
  <c r="AS3" i="17" s="1"/>
  <c r="AT3" i="17" s="1"/>
  <c r="AU3" i="17" s="1"/>
  <c r="AV3" i="17" s="1"/>
  <c r="AD3" i="17"/>
  <c r="AE3" i="17" s="1"/>
  <c r="AF3" i="17" s="1"/>
  <c r="AG3" i="17" s="1"/>
  <c r="AH3" i="17" s="1"/>
  <c r="AI3" i="17" s="1"/>
  <c r="AJ3" i="17" s="1"/>
  <c r="AK3" i="17" s="1"/>
  <c r="AL3" i="17" s="1"/>
  <c r="T3" i="17"/>
  <c r="U3" i="17" s="1"/>
  <c r="V3" i="17" s="1"/>
  <c r="W3" i="17" s="1"/>
  <c r="X3" i="17" s="1"/>
  <c r="Y3" i="17" s="1"/>
  <c r="Z3" i="17" s="1"/>
  <c r="AA3" i="17" s="1"/>
  <c r="AB3" i="17" s="1"/>
  <c r="J3" i="17"/>
  <c r="K3" i="17" s="1"/>
  <c r="L3" i="17" s="1"/>
  <c r="M3" i="17" s="1"/>
  <c r="N3" i="17" s="1"/>
  <c r="O3" i="17" s="1"/>
  <c r="P3" i="17" s="1"/>
  <c r="Q3" i="17" s="1"/>
  <c r="R3" i="17" s="1"/>
  <c r="E3" i="17"/>
  <c r="F3" i="17" s="1"/>
  <c r="G3" i="17" s="1"/>
  <c r="H3" i="17" s="1"/>
  <c r="G48" i="16" l="1"/>
  <c r="G47" i="16"/>
  <c r="G40" i="16"/>
  <c r="G42" i="16"/>
  <c r="G44" i="16"/>
  <c r="G15" i="16"/>
  <c r="G7" i="16"/>
  <c r="G6" i="16"/>
  <c r="X27" i="15" l="1"/>
  <c r="X26" i="15"/>
  <c r="X25" i="15"/>
  <c r="X24" i="15"/>
  <c r="X23" i="15"/>
  <c r="X17" i="15"/>
  <c r="X18" i="15"/>
  <c r="X16" i="15"/>
  <c r="X8" i="15"/>
  <c r="X9" i="15"/>
  <c r="X7" i="15"/>
  <c r="J9" i="15"/>
  <c r="J10" i="15"/>
  <c r="J11" i="15"/>
  <c r="N11" i="15"/>
  <c r="N10" i="15"/>
  <c r="N9" i="15"/>
  <c r="M11" i="15"/>
  <c r="M10" i="15"/>
  <c r="M9" i="15"/>
  <c r="L11" i="15"/>
  <c r="L10" i="15"/>
  <c r="L9" i="15"/>
  <c r="K11" i="15"/>
  <c r="K10" i="15"/>
  <c r="K9" i="15"/>
  <c r="K3" i="15"/>
  <c r="K6" i="15" s="1"/>
  <c r="C31" i="15" s="1"/>
  <c r="L3" i="15"/>
  <c r="L6" i="15" s="1"/>
  <c r="D30" i="15" s="1"/>
  <c r="M3" i="15"/>
  <c r="M6" i="15" s="1"/>
  <c r="E27" i="15" s="1"/>
  <c r="N3" i="15"/>
  <c r="N6" i="15" s="1"/>
  <c r="O3" i="15"/>
  <c r="O6" i="15" s="1"/>
  <c r="G30" i="15" s="1"/>
  <c r="J3" i="15"/>
  <c r="J6" i="15" s="1"/>
  <c r="B29" i="15" l="1"/>
  <c r="B27" i="15"/>
  <c r="X29" i="15"/>
  <c r="Z26" i="15" s="1"/>
  <c r="X19" i="15"/>
  <c r="Z17" i="15" s="1"/>
  <c r="F28" i="15"/>
  <c r="F31" i="15"/>
  <c r="B24" i="15"/>
  <c r="I4" i="3" s="1"/>
  <c r="I34" i="3" s="1"/>
  <c r="B30" i="15"/>
  <c r="B31" i="15"/>
  <c r="G31" i="15"/>
  <c r="F30" i="15"/>
  <c r="E30" i="15"/>
  <c r="E31" i="15"/>
  <c r="C30" i="15"/>
  <c r="X11" i="15"/>
  <c r="Z9" i="15" s="1"/>
  <c r="D31" i="15"/>
  <c r="E29" i="15"/>
  <c r="E34" i="15" s="1"/>
  <c r="M8" i="15" s="1"/>
  <c r="M12" i="15" s="1"/>
  <c r="D26" i="15"/>
  <c r="D25" i="15"/>
  <c r="D24" i="15"/>
  <c r="I6" i="3" s="1"/>
  <c r="D23" i="15"/>
  <c r="D29" i="15"/>
  <c r="D34" i="15" s="1"/>
  <c r="C6" i="3" s="1"/>
  <c r="D28" i="15"/>
  <c r="H6" i="3" s="1"/>
  <c r="D27" i="15"/>
  <c r="G6" i="3" s="1"/>
  <c r="C25" i="15"/>
  <c r="C24" i="15"/>
  <c r="I5" i="3" s="1"/>
  <c r="I35" i="3" s="1"/>
  <c r="C27" i="15"/>
  <c r="G5" i="3" s="1"/>
  <c r="G35" i="3" s="1"/>
  <c r="C29" i="15"/>
  <c r="C34" i="15" s="1"/>
  <c r="C5" i="3" s="1"/>
  <c r="C28" i="15"/>
  <c r="H5" i="3" s="1"/>
  <c r="H35" i="3" s="1"/>
  <c r="C23" i="15"/>
  <c r="C26" i="15"/>
  <c r="G23" i="15"/>
  <c r="G29" i="15"/>
  <c r="G34" i="15" s="1"/>
  <c r="C7" i="3" s="1"/>
  <c r="G26" i="15"/>
  <c r="G24" i="15"/>
  <c r="I7" i="3" s="1"/>
  <c r="I37" i="3" s="1"/>
  <c r="G28" i="15"/>
  <c r="H7" i="3" s="1"/>
  <c r="H37" i="3" s="1"/>
  <c r="G27" i="15"/>
  <c r="G7" i="3" s="1"/>
  <c r="G37" i="3" s="1"/>
  <c r="G25" i="15"/>
  <c r="F29" i="15"/>
  <c r="F34" i="15" s="1"/>
  <c r="C3" i="3" s="1"/>
  <c r="E28" i="15"/>
  <c r="B25" i="15"/>
  <c r="B23" i="15"/>
  <c r="G4" i="3"/>
  <c r="G34" i="3" s="1"/>
  <c r="F24" i="15"/>
  <c r="I3" i="3" s="1"/>
  <c r="I33" i="3" s="1"/>
  <c r="B26" i="15"/>
  <c r="B28" i="15"/>
  <c r="H4" i="3" s="1"/>
  <c r="H34" i="3" s="1"/>
  <c r="E23" i="15"/>
  <c r="F25" i="15"/>
  <c r="E24" i="15"/>
  <c r="F23" i="15"/>
  <c r="I23" i="15" s="1"/>
  <c r="F26" i="15"/>
  <c r="E25" i="15"/>
  <c r="F27" i="15"/>
  <c r="G3" i="3" s="1"/>
  <c r="G33" i="3" s="1"/>
  <c r="E26" i="15"/>
  <c r="K8" i="15" l="1"/>
  <c r="K12" i="15" s="1"/>
  <c r="C35" i="3"/>
  <c r="C20" i="3"/>
  <c r="E20" i="3"/>
  <c r="O8" i="15"/>
  <c r="O12" i="15" s="1"/>
  <c r="O13" i="15" s="1"/>
  <c r="C37" i="3"/>
  <c r="G36" i="3"/>
  <c r="G9" i="3"/>
  <c r="C36" i="3"/>
  <c r="C21" i="3"/>
  <c r="E21" i="3"/>
  <c r="I36" i="3"/>
  <c r="I9" i="3"/>
  <c r="N8" i="15"/>
  <c r="N12" i="15" s="1"/>
  <c r="N13" i="15" s="1"/>
  <c r="C33" i="3"/>
  <c r="H36" i="3"/>
  <c r="H9" i="3"/>
  <c r="B34" i="15"/>
  <c r="C4" i="3" s="1"/>
  <c r="Z16" i="15"/>
  <c r="L8" i="15"/>
  <c r="L12" i="15" s="1"/>
  <c r="L13" i="15" s="1"/>
  <c r="Z18" i="15"/>
  <c r="H3" i="3"/>
  <c r="H33" i="3" s="1"/>
  <c r="Z23" i="15"/>
  <c r="Z25" i="15"/>
  <c r="Z24" i="15"/>
  <c r="Z27" i="15"/>
  <c r="M13" i="15"/>
  <c r="K13" i="15"/>
  <c r="Z8" i="15"/>
  <c r="Z7" i="15"/>
  <c r="AC23" i="3"/>
  <c r="AC22" i="3"/>
  <c r="AC21" i="3"/>
  <c r="AC20" i="3"/>
  <c r="AC19" i="3"/>
  <c r="C34" i="3" l="1"/>
  <c r="C19" i="3"/>
  <c r="E19" i="3"/>
  <c r="J8" i="15"/>
  <c r="J12" i="15" s="1"/>
  <c r="J13" i="15" s="1"/>
  <c r="I39" i="3"/>
  <c r="I10" i="3"/>
  <c r="I40" i="3" s="1"/>
  <c r="G39" i="3"/>
  <c r="G10" i="3"/>
  <c r="G40" i="3" s="1"/>
  <c r="H20" i="3"/>
  <c r="F20" i="3"/>
  <c r="G20" i="3"/>
  <c r="C9" i="3"/>
  <c r="C39" i="3" s="1"/>
  <c r="E22" i="3"/>
  <c r="F21" i="3"/>
  <c r="H21" i="3"/>
  <c r="G21" i="3"/>
  <c r="H39" i="3"/>
  <c r="H10" i="3"/>
  <c r="H40" i="3" s="1"/>
  <c r="L14" i="14"/>
  <c r="L11" i="14"/>
  <c r="C4" i="14"/>
  <c r="E3" i="14" s="1"/>
  <c r="F19" i="3" l="1"/>
  <c r="H19" i="3"/>
  <c r="G19" i="3"/>
  <c r="H7" i="14"/>
  <c r="H8" i="14"/>
  <c r="H9" i="14"/>
  <c r="H10" i="14"/>
  <c r="H11" i="14"/>
  <c r="H12" i="14"/>
  <c r="H13" i="14"/>
  <c r="H6" i="14"/>
  <c r="N7" i="14"/>
  <c r="N8" i="14"/>
  <c r="N9" i="14"/>
  <c r="N6" i="14"/>
  <c r="C5" i="13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AI5" i="13" s="1"/>
  <c r="AJ5" i="13" s="1"/>
  <c r="AK5" i="13" s="1"/>
  <c r="H15" i="14" l="1"/>
  <c r="J9" i="14"/>
  <c r="J6" i="2"/>
  <c r="J11" i="2"/>
  <c r="J12" i="2"/>
  <c r="J13" i="2"/>
  <c r="J14" i="2"/>
  <c r="J15" i="2"/>
  <c r="J10" i="2"/>
  <c r="J7" i="2"/>
  <c r="J8" i="2"/>
  <c r="J5" i="2"/>
  <c r="AM25" i="1" l="1"/>
  <c r="AN25" i="1" s="1"/>
  <c r="AO25" i="1" s="1"/>
  <c r="AP25" i="1" s="1"/>
  <c r="AQ25" i="1" s="1"/>
  <c r="AR25" i="1" s="1"/>
  <c r="AS25" i="1" s="1"/>
  <c r="AT25" i="1" s="1"/>
  <c r="AU25" i="1" s="1"/>
  <c r="AC25" i="1"/>
  <c r="AD25" i="1" s="1"/>
  <c r="AE25" i="1" s="1"/>
  <c r="AF25" i="1" s="1"/>
  <c r="AG25" i="1" s="1"/>
  <c r="AH25" i="1" s="1"/>
  <c r="AI25" i="1" s="1"/>
  <c r="AJ25" i="1" s="1"/>
  <c r="AK25" i="1" s="1"/>
  <c r="S25" i="1"/>
  <c r="T25" i="1" s="1"/>
  <c r="U25" i="1" s="1"/>
  <c r="V25" i="1" s="1"/>
  <c r="W25" i="1" s="1"/>
  <c r="X25" i="1" s="1"/>
  <c r="Y25" i="1" s="1"/>
  <c r="Z25" i="1" s="1"/>
  <c r="AA25" i="1" s="1"/>
  <c r="I25" i="1"/>
  <c r="J25" i="1" s="1"/>
  <c r="K25" i="1" s="1"/>
  <c r="L25" i="1" s="1"/>
  <c r="M25" i="1" s="1"/>
  <c r="N25" i="1" s="1"/>
  <c r="O25" i="1" s="1"/>
  <c r="P25" i="1" s="1"/>
  <c r="Q25" i="1" s="1"/>
  <c r="D25" i="1"/>
  <c r="E25" i="1" s="1"/>
  <c r="F25" i="1" s="1"/>
  <c r="G25" i="1" s="1"/>
  <c r="AV29" i="1"/>
  <c r="AL28" i="1"/>
  <c r="AV28" i="1" s="1"/>
  <c r="AL27" i="1"/>
  <c r="AL26" i="1"/>
  <c r="AL39" i="1" l="1"/>
  <c r="AV30" i="1"/>
  <c r="AV41" i="1" s="1"/>
  <c r="AL41" i="1"/>
  <c r="AV26" i="1"/>
  <c r="AL40" i="1"/>
  <c r="AL34" i="1"/>
  <c r="AV27" i="1"/>
  <c r="AV39" i="1" s="1"/>
  <c r="D11" i="1"/>
  <c r="E11" i="1"/>
  <c r="F11" i="1"/>
  <c r="G11" i="1"/>
  <c r="C11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3" i="1"/>
  <c r="I3" i="1" s="1"/>
  <c r="AV34" i="1" l="1"/>
  <c r="AV40" i="1"/>
  <c r="I11" i="1"/>
  <c r="H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Lorenzo Usai</author>
  </authors>
  <commentList>
    <comment ref="C5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Lorenzo Usai:</t>
        </r>
        <r>
          <rPr>
            <sz val="9"/>
            <color indexed="81"/>
            <rFont val="Tahoma"/>
            <charset val="1"/>
          </rPr>
          <t xml:space="preserve">
65-70</t>
        </r>
      </text>
    </comment>
    <comment ref="E18" authorId="0" shapeId="0" xr:uid="{00000000-0006-0000-0600-000002000000}">
      <text>
        <r>
          <rPr>
            <b/>
            <sz val="9"/>
            <color indexed="81"/>
            <rFont val="Tahoma"/>
            <charset val="1"/>
          </rPr>
          <t>Lorenzo Usai:</t>
        </r>
        <r>
          <rPr>
            <sz val="9"/>
            <color indexed="81"/>
            <rFont val="Tahoma"/>
            <charset val="1"/>
          </rPr>
          <t xml:space="preserve">
65-70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Dai, Qiang</author>
  </authors>
  <commentList>
    <comment ref="B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Dai, Qiang:</t>
        </r>
        <r>
          <rPr>
            <sz val="9"/>
            <color indexed="81"/>
            <rFont val="Tahoma"/>
            <family val="2"/>
          </rPr>
          <t xml:space="preserve">
Based on BatPaC v3.1 EV Battery 5</t>
        </r>
      </text>
    </comment>
    <comment ref="B3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Dai, Qiang: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0.168 kWh gross energy, 0.143 kWh usable energy</t>
        </r>
      </text>
    </comment>
    <comment ref="C3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Dai, Qiang:</t>
        </r>
        <r>
          <rPr>
            <sz val="9"/>
            <color indexed="81"/>
            <rFont val="Tahoma"/>
            <family val="2"/>
          </rPr>
          <t xml:space="preserve">
0.168 kWh gross energy, 0.143 kWh usable energy</t>
        </r>
      </text>
    </comment>
    <comment ref="D3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Dai, Qiang:</t>
        </r>
        <r>
          <rPr>
            <sz val="9"/>
            <color indexed="81"/>
            <rFont val="Tahoma"/>
            <family val="2"/>
          </rPr>
          <t xml:space="preserve">
0.168 kWh gross energy, 0.143 kWh usable energy</t>
        </r>
      </text>
    </comment>
    <comment ref="E3" authorId="0" shapeId="0" xr:uid="{00000000-0006-0000-0800-000005000000}">
      <text>
        <r>
          <rPr>
            <b/>
            <sz val="9"/>
            <color rgb="FF000000"/>
            <rFont val="Tahoma"/>
            <family val="2"/>
          </rPr>
          <t>Dai, Qiang: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0.168 kWh gross energy, 0.143 kWh usable energy</t>
        </r>
      </text>
    </comment>
    <comment ref="F3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Dai, Qiang:</t>
        </r>
        <r>
          <rPr>
            <sz val="9"/>
            <color indexed="81"/>
            <rFont val="Tahoma"/>
            <family val="2"/>
          </rPr>
          <t xml:space="preserve">
0.168 kWh gross energy, 0.143 kWh usable energy</t>
        </r>
      </text>
    </comment>
    <comment ref="G3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Dai, Qiang:</t>
        </r>
        <r>
          <rPr>
            <sz val="9"/>
            <color indexed="81"/>
            <rFont val="Tahoma"/>
            <family val="2"/>
          </rPr>
          <t xml:space="preserve">
0.168 kWh gross energy, 0.143 kWh usable energy</t>
        </r>
      </text>
    </comment>
    <comment ref="B6" authorId="0" shapeId="0" xr:uid="{00000000-0006-0000-0800-000008000000}">
      <text>
        <r>
          <rPr>
            <b/>
            <sz val="9"/>
            <color rgb="FF000000"/>
            <rFont val="Tahoma"/>
            <family val="2"/>
          </rPr>
          <t>Dai, Qiang: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Based on BatPaC v3.1 EV Battery 5</t>
        </r>
      </text>
    </comment>
  </commentList>
</comments>
</file>

<file path=xl/sharedStrings.xml><?xml version="1.0" encoding="utf-8"?>
<sst xmlns="http://schemas.openxmlformats.org/spreadsheetml/2006/main" count="850" uniqueCount="352">
  <si>
    <t>chemistry</t>
  </si>
  <si>
    <t>LCO</t>
  </si>
  <si>
    <t>NCA</t>
  </si>
  <si>
    <t>Plus 111</t>
  </si>
  <si>
    <t>NMC 532</t>
  </si>
  <si>
    <t>NCM 622</t>
  </si>
  <si>
    <t>NCM811</t>
  </si>
  <si>
    <t>LMO</t>
  </si>
  <si>
    <t>LFP</t>
  </si>
  <si>
    <t>Other</t>
  </si>
  <si>
    <t>Check</t>
  </si>
  <si>
    <t>Segment</t>
  </si>
  <si>
    <t>mean</t>
  </si>
  <si>
    <t>std</t>
  </si>
  <si>
    <t>min</t>
  </si>
  <si>
    <t>max</t>
  </si>
  <si>
    <t>variance</t>
  </si>
  <si>
    <t>entries</t>
  </si>
  <si>
    <t>A</t>
  </si>
  <si>
    <t>B</t>
  </si>
  <si>
    <t>C</t>
  </si>
  <si>
    <t>D</t>
  </si>
  <si>
    <t>E</t>
  </si>
  <si>
    <t>F</t>
  </si>
  <si>
    <t>JB</t>
  </si>
  <si>
    <t>JC</t>
  </si>
  <si>
    <t>JD</t>
  </si>
  <si>
    <t>JE</t>
  </si>
  <si>
    <t>JF</t>
  </si>
  <si>
    <t>Cell</t>
  </si>
  <si>
    <t>Pack</t>
  </si>
  <si>
    <t>Li</t>
  </si>
  <si>
    <t>Co</t>
  </si>
  <si>
    <t>Ni</t>
  </si>
  <si>
    <t>Mn</t>
  </si>
  <si>
    <t>Cu</t>
  </si>
  <si>
    <t>Al</t>
  </si>
  <si>
    <t>Graphite</t>
  </si>
  <si>
    <t>Steel</t>
  </si>
  <si>
    <t>O</t>
  </si>
  <si>
    <t>Mg</t>
  </si>
  <si>
    <t>Reuters</t>
  </si>
  <si>
    <t>Benchmark mineral intelligence [side 6]</t>
  </si>
  <si>
    <t>Benchmark mineral intelligence [slide 9]</t>
  </si>
  <si>
    <t>Meeting with Anders</t>
  </si>
  <si>
    <t>Production capacity needed for each scenario and then benchmark it with declared capacity</t>
  </si>
  <si>
    <t>Shift towards larger batteries</t>
  </si>
  <si>
    <t xml:space="preserve">Plot electrification degree to compare </t>
  </si>
  <si>
    <t>Implement full material vectors</t>
  </si>
  <si>
    <t>Look at segments</t>
  </si>
  <si>
    <t>Consider higher share of Evs</t>
  </si>
  <si>
    <t xml:space="preserve">Ability to recycle and look at fate of batteries (landfilling etc.) </t>
  </si>
  <si>
    <t>Sources:</t>
  </si>
  <si>
    <t>https://fingfx.thomsonreuters.com/gfx/editorcharts/AUTOS-BATTERIES-SOUTHKOREA/0H001QXL09JY/index.html</t>
  </si>
  <si>
    <t>Future recovery capabilities</t>
  </si>
  <si>
    <t>Benchmark minarls intelligence</t>
  </si>
  <si>
    <t>C:\Users\lorenzou\OneDrive - NTNU\PhD\Webinar-The-future-Energy-Storage-Cobal-Lithium-Markets.pdf</t>
  </si>
  <si>
    <t>How much you can then reuse in a battery</t>
  </si>
  <si>
    <t>Key parameters</t>
  </si>
  <si>
    <t>Share of Evs</t>
  </si>
  <si>
    <t>Size of batteries</t>
  </si>
  <si>
    <t xml:space="preserve">Recycling </t>
  </si>
  <si>
    <t xml:space="preserve">Enabling conditions for given scenarios </t>
  </si>
  <si>
    <t>What's our current shape compared to scenarios</t>
  </si>
  <si>
    <t>Odne and Jacob</t>
  </si>
  <si>
    <t>Contact Odne and Jacob</t>
  </si>
  <si>
    <t>Scenarios for LIB chemistries</t>
  </si>
  <si>
    <t>3 different scenarios</t>
  </si>
  <si>
    <t>1) Li-S</t>
  </si>
  <si>
    <r>
      <t xml:space="preserve">2) Distruptive techs (Li-air </t>
    </r>
    <r>
      <rPr>
        <i/>
        <sz val="11"/>
        <color theme="1"/>
        <rFont val="Calibri"/>
        <family val="2"/>
        <scheme val="minor"/>
      </rPr>
      <t>et cetera)</t>
    </r>
  </si>
  <si>
    <t>1.2 Cell size</t>
  </si>
  <si>
    <t>Default</t>
  </si>
  <si>
    <t>NMC(111)</t>
  </si>
  <si>
    <t>NMC(622)</t>
  </si>
  <si>
    <t>NMC(811)</t>
  </si>
  <si>
    <t>Cell energy (kWh)</t>
  </si>
  <si>
    <t>Cell mass (kg)</t>
  </si>
  <si>
    <t>1.3 Cell material composition (wt%)</t>
  </si>
  <si>
    <t>Active cathode material</t>
  </si>
  <si>
    <t>Carbon black</t>
  </si>
  <si>
    <t>Binder: PVDF</t>
  </si>
  <si>
    <t>Copper</t>
  </si>
  <si>
    <t>Aluminum</t>
  </si>
  <si>
    <t>Electrolyte: LiPF6</t>
  </si>
  <si>
    <t>Electrolyte: EC</t>
  </si>
  <si>
    <t>Electrolyte: DMC</t>
  </si>
  <si>
    <t>Plastic: PP</t>
  </si>
  <si>
    <t>Plastic: PE</t>
  </si>
  <si>
    <t>Plastic: PET</t>
  </si>
  <si>
    <t>Energy density (kWh/kg)</t>
  </si>
  <si>
    <t>kg/kWh</t>
  </si>
  <si>
    <t>Lithium</t>
  </si>
  <si>
    <t>Cobalt</t>
  </si>
  <si>
    <t>Nickel</t>
  </si>
  <si>
    <t>Manganese</t>
  </si>
  <si>
    <t>Other electrolyte</t>
  </si>
  <si>
    <t>Plastics</t>
  </si>
  <si>
    <t>Difference</t>
  </si>
  <si>
    <t>LiMn2O4</t>
  </si>
  <si>
    <t>Commercial status, according to Nitta</t>
  </si>
  <si>
    <t>LiPF6</t>
  </si>
  <si>
    <t>P</t>
  </si>
  <si>
    <t>Extra al for NCA</t>
  </si>
  <si>
    <t>Element ratio by mass</t>
  </si>
  <si>
    <t>Fe</t>
  </si>
  <si>
    <t>Total</t>
  </si>
  <si>
    <t>Fixings</t>
  </si>
  <si>
    <t>Component</t>
  </si>
  <si>
    <t>Material</t>
  </si>
  <si>
    <t>Quantity</t>
  </si>
  <si>
    <t>Unit</t>
  </si>
  <si>
    <t>kg</t>
  </si>
  <si>
    <t>Frames</t>
  </si>
  <si>
    <t>Main comp</t>
  </si>
  <si>
    <t>Aluminium</t>
  </si>
  <si>
    <t>Nylon</t>
  </si>
  <si>
    <t>Bimetallic busbars</t>
  </si>
  <si>
    <t xml:space="preserve">Plastics </t>
  </si>
  <si>
    <t>acrylonitrile butadiene styrene copolymer</t>
  </si>
  <si>
    <t>Endbusbars</t>
  </si>
  <si>
    <t>Lid</t>
  </si>
  <si>
    <t>Module packaging</t>
  </si>
  <si>
    <t>BMS</t>
  </si>
  <si>
    <t>High voltage system</t>
  </si>
  <si>
    <t>PET</t>
  </si>
  <si>
    <t>polyphenylene sulfide</t>
  </si>
  <si>
    <t>tin, cable, rubber</t>
  </si>
  <si>
    <t>IBIS fixings</t>
  </si>
  <si>
    <t>IBIS</t>
  </si>
  <si>
    <t>Cooling system</t>
  </si>
  <si>
    <t>Radiator</t>
  </si>
  <si>
    <t>Manifolds</t>
  </si>
  <si>
    <t xml:space="preserve">Clamps &amp; fixings </t>
  </si>
  <si>
    <t>Pipe fitting</t>
  </si>
  <si>
    <t>Battery tray</t>
  </si>
  <si>
    <t>Al_pack</t>
  </si>
  <si>
    <t>Cu_pack</t>
  </si>
  <si>
    <t>NCM 811</t>
  </si>
  <si>
    <t>Based on Baars</t>
  </si>
  <si>
    <t>J</t>
  </si>
  <si>
    <t>BEVs</t>
  </si>
  <si>
    <t>PHEVs</t>
  </si>
  <si>
    <t>Karabelli et al., 2020 - Tackling xEV battery chemistry in view of raw material supply shortfalls</t>
  </si>
  <si>
    <t>Scenario 1</t>
  </si>
  <si>
    <t>NMC 111</t>
  </si>
  <si>
    <t>NMC 622</t>
  </si>
  <si>
    <t>NMC 811</t>
  </si>
  <si>
    <t>Scenario 2</t>
  </si>
  <si>
    <t>Scenario 1 (experts opinion)</t>
  </si>
  <si>
    <t>Scenario 2 (realistic)</t>
  </si>
  <si>
    <t>Xu et al., 2020 - Future material demand for automotive Li based batteries</t>
  </si>
  <si>
    <t>NCM 532</t>
  </si>
  <si>
    <t>NCM 622 (Si-C)</t>
  </si>
  <si>
    <t>NMC 811 (Si-C)</t>
  </si>
  <si>
    <t>NMC 955 (Si-C)</t>
  </si>
  <si>
    <t>Scenario 3</t>
  </si>
  <si>
    <t>Li-S</t>
  </si>
  <si>
    <t>Li-Air</t>
  </si>
  <si>
    <t>Roland Berger, e-mobility index 2018</t>
  </si>
  <si>
    <t>Other (LFP/LCO/LTO)</t>
  </si>
  <si>
    <t>NCA (&lt;90% Ni)</t>
  </si>
  <si>
    <t>NCA (&gt;90% Ni)</t>
  </si>
  <si>
    <t>NCMA</t>
  </si>
  <si>
    <t>McKinsey 2018 - Metal mining constraints on the electric mobility horizon</t>
  </si>
  <si>
    <t>NCM 111</t>
  </si>
  <si>
    <t>Scenario 1 (China)</t>
  </si>
  <si>
    <t>Scenario 2 (RoW)</t>
  </si>
  <si>
    <t>McKinsey 2018 - Li and Co, a tale of 2 commodities</t>
  </si>
  <si>
    <t>NCM 955</t>
  </si>
  <si>
    <t>Future battery industries, 2019 - Li-ion battery cathode manufacture in Australia</t>
  </si>
  <si>
    <t>NCM 111/523</t>
  </si>
  <si>
    <t>Others</t>
  </si>
  <si>
    <t>The Faraday institution 2019 - Li, Co and Ni: The gold rush of the 21st century</t>
  </si>
  <si>
    <t xml:space="preserve">NMC 955 </t>
  </si>
  <si>
    <t>Karabelli 1</t>
  </si>
  <si>
    <t>Australia</t>
  </si>
  <si>
    <t>Roland berger</t>
  </si>
  <si>
    <t>Karabelli</t>
  </si>
  <si>
    <t>McKinsey (average)</t>
  </si>
  <si>
    <t>Faraday Institution</t>
  </si>
  <si>
    <t>Karabelli 2</t>
  </si>
  <si>
    <t>Xu et al.</t>
  </si>
  <si>
    <t>Mckinsey 2</t>
  </si>
  <si>
    <t>Xu et al., 2020 - 2</t>
  </si>
  <si>
    <t xml:space="preserve">Xu et al., 2020 - 1 </t>
  </si>
  <si>
    <t xml:space="preserve">Xu et al., 2020 - 3 </t>
  </si>
  <si>
    <t>Benchmark minerals</t>
  </si>
  <si>
    <t>AVG</t>
  </si>
  <si>
    <t>MEDIAN</t>
  </si>
  <si>
    <t>NCM 111/532</t>
  </si>
  <si>
    <t>Tot</t>
  </si>
  <si>
    <t>% Mn</t>
  </si>
  <si>
    <t>% Ni</t>
  </si>
  <si>
    <t>% Co</t>
  </si>
  <si>
    <t>% Li</t>
  </si>
  <si>
    <t>Faraday institution</t>
  </si>
  <si>
    <t>Xu et al. - Scenario 1</t>
  </si>
  <si>
    <t>Xu et al. - Scenario 2</t>
  </si>
  <si>
    <t>Xu et al. - Scenario 3</t>
  </si>
  <si>
    <t>Cement</t>
  </si>
  <si>
    <t>NA</t>
  </si>
  <si>
    <t>Primary aluminium</t>
  </si>
  <si>
    <t>Values in tons</t>
  </si>
  <si>
    <t>Post WWII (0 = 1946)</t>
  </si>
  <si>
    <t>Baseline SSP2</t>
  </si>
  <si>
    <t>Baseline SSP1</t>
  </si>
  <si>
    <t>RCP2.6 SSP2</t>
  </si>
  <si>
    <t>RCP2.6 SSP1</t>
  </si>
  <si>
    <t>dash 1</t>
  </si>
  <si>
    <t>dash 2</t>
  </si>
  <si>
    <t>EOL</t>
  </si>
  <si>
    <t>Prod</t>
  </si>
  <si>
    <t>Battery CAPEX</t>
  </si>
  <si>
    <t>Gigafactory 1</t>
  </si>
  <si>
    <t>Size [GWh]</t>
  </si>
  <si>
    <t>Investment</t>
  </si>
  <si>
    <t>https://www.slashgear.com/teslas-nevada-gigafactory-to-cost-5-billion-16365021/</t>
  </si>
  <si>
    <t>Northvolt</t>
  </si>
  <si>
    <t>https://www.reuters.com/article/us-northvolt-funding/battery-maker-northvolt-raises-600-million-in-private-placement-idUSKBN26K185</t>
  </si>
  <si>
    <t>https://cleantechnica.com/2020/08/06/northvolt-3-billion-for-2-battery-gigafactories-in-europe/</t>
  </si>
  <si>
    <t>LG Chem Wroclaw</t>
  </si>
  <si>
    <t>https://www.ebrd.com/news/2019/lg-chem-battery-gigafactory-in-poland-to-be-powered-by-ebrd.html</t>
  </si>
  <si>
    <t>Imperium3 Townsville</t>
  </si>
  <si>
    <t>https://thedriven.io/2020/08/17/queensland-ev-battery-gigafactory-edges-closer-to-realisation/</t>
  </si>
  <si>
    <t>82% of initial investment is capital</t>
  </si>
  <si>
    <t>https://www.cstep.in/drupal/sites/default/files/2019-01/CSTEP_RR_LiB_Indigenisation_July2018.pdf</t>
  </si>
  <si>
    <t>Study on CAPEX</t>
  </si>
  <si>
    <t>https://www.sciencedirect.com/science/article/abs/pii/S0306261916312740</t>
  </si>
  <si>
    <t>https://www.diva-portal.org/smash/get/diva2:1254196/FULLTEXT01.pdf</t>
  </si>
  <si>
    <t>https://www.mckinsey.com/~/media/McKinsey/Industries/Automotive%20and%20Assembly/Our%20Insights/Improving%20battery%20electric%20vehicle%20profitability%20through%20reduced%20structural%20costs/Improving-battery-electric-vehicle-profitability-Final.pdf</t>
  </si>
  <si>
    <t>file:///C:/Users/lorenzou/Downloads/lbnl-2001314.pdf</t>
  </si>
  <si>
    <t>Benchmark Minerals</t>
  </si>
  <si>
    <t>NCM</t>
  </si>
  <si>
    <t>Size</t>
  </si>
  <si>
    <t>kWh</t>
  </si>
  <si>
    <t>Wh/kg</t>
  </si>
  <si>
    <t>Total weight</t>
  </si>
  <si>
    <t>g</t>
  </si>
  <si>
    <t>%</t>
  </si>
  <si>
    <t>Conductive agent</t>
  </si>
  <si>
    <t>Binder</t>
  </si>
  <si>
    <t>Negative</t>
  </si>
  <si>
    <t>Positive</t>
  </si>
  <si>
    <t xml:space="preserve">Conductive agent </t>
  </si>
  <si>
    <t>Electrolyte</t>
  </si>
  <si>
    <t>Separator</t>
  </si>
  <si>
    <t xml:space="preserve">Casing </t>
  </si>
  <si>
    <t>Tab Al</t>
  </si>
  <si>
    <t>Tab Cu</t>
  </si>
  <si>
    <t>Positive active mass</t>
  </si>
  <si>
    <t>Negative active mass</t>
  </si>
  <si>
    <t>Current collector (Cu)</t>
  </si>
  <si>
    <t>Current collector (Al)</t>
  </si>
  <si>
    <t>Per cell</t>
  </si>
  <si>
    <t>Per kWh</t>
  </si>
  <si>
    <t>Source: IEA. All Rights Reserved</t>
  </si>
  <si>
    <t>This data is subject to the IEA's terms and conditions: https://www.iea.org/t_c/termsandconditions/</t>
  </si>
  <si>
    <t>Units: USD/Wh capacity</t>
  </si>
  <si>
    <t>Annual averages based on comissioning year</t>
  </si>
  <si>
    <t>Illustrative trend</t>
  </si>
  <si>
    <t>USD/kWh</t>
  </si>
  <si>
    <t>USD/GWh</t>
  </si>
  <si>
    <t>IEA 2019</t>
  </si>
  <si>
    <t>BEV</t>
  </si>
  <si>
    <t>PHEV</t>
  </si>
  <si>
    <t>China</t>
  </si>
  <si>
    <t xml:space="preserve">Europe </t>
  </si>
  <si>
    <t>US</t>
  </si>
  <si>
    <t>RoW</t>
  </si>
  <si>
    <t>Rocky mountain institute</t>
  </si>
  <si>
    <t>Rolnd Zenn's Twitter</t>
  </si>
  <si>
    <t>CAPEX ($ million)</t>
  </si>
  <si>
    <t>Capacity (GWh)</t>
  </si>
  <si>
    <t>Customer qualification plant</t>
  </si>
  <si>
    <t>Gigafactory 2</t>
  </si>
  <si>
    <t>Joint Venture Giga 1</t>
  </si>
  <si>
    <t>Giga 3</t>
  </si>
  <si>
    <t>Giga 4</t>
  </si>
  <si>
    <t>Giga 5</t>
  </si>
  <si>
    <t>Joint Venture Giga 2</t>
  </si>
  <si>
    <t>Giga 6</t>
  </si>
  <si>
    <t>$ million/GWh</t>
  </si>
  <si>
    <t>Start</t>
  </si>
  <si>
    <t>Freyr</t>
  </si>
  <si>
    <t>Tesla</t>
  </si>
  <si>
    <t>Jacob's data</t>
  </si>
  <si>
    <t>Gigafactory</t>
  </si>
  <si>
    <t>Maintenance</t>
  </si>
  <si>
    <t>Energy</t>
  </si>
  <si>
    <t>Labor</t>
  </si>
  <si>
    <t>Materials</t>
  </si>
  <si>
    <t>OPEX (million $/yr)</t>
  </si>
  <si>
    <t>Total OPEX</t>
  </si>
  <si>
    <t>Employees</t>
  </si>
  <si>
    <t>Employees/GWh</t>
  </si>
  <si>
    <t>IEA</t>
  </si>
  <si>
    <t>Jacob's</t>
  </si>
  <si>
    <t>CATL</t>
  </si>
  <si>
    <t>Nature paper</t>
  </si>
  <si>
    <t>Job loss</t>
  </si>
  <si>
    <t>Employment</t>
  </si>
  <si>
    <t>DIFF</t>
  </si>
  <si>
    <t>https://www.pwc.co.uk/economic-services/assets/international-impact-of-automation-feb-2018.pdf</t>
  </si>
  <si>
    <t>Faraday</t>
  </si>
  <si>
    <t>https://faraday.ac.uk/wp-content/uploads/2019/08/Faraday_Insights-2_FINAL.pdf</t>
  </si>
  <si>
    <t>UK</t>
  </si>
  <si>
    <t>GWh</t>
  </si>
  <si>
    <t>FREYR</t>
  </si>
  <si>
    <t>JRC</t>
  </si>
  <si>
    <t>NPE</t>
  </si>
  <si>
    <t>Panasonic (china)</t>
  </si>
  <si>
    <t>TerraE</t>
  </si>
  <si>
    <t>Boston Energy and Innovaton</t>
  </si>
  <si>
    <t>VW (Germany)</t>
  </si>
  <si>
    <t>CAGR</t>
  </si>
  <si>
    <t>RCP</t>
  </si>
  <si>
    <t>Baseline</t>
  </si>
  <si>
    <t>Chinese steel</t>
  </si>
  <si>
    <t>ICCT</t>
  </si>
  <si>
    <t>PbA batteries</t>
  </si>
  <si>
    <t>Pb-A batteries - Only EU</t>
  </si>
  <si>
    <t>LIBs in China</t>
  </si>
  <si>
    <t xml:space="preserve">kt </t>
  </si>
  <si>
    <t>Bar0, 2.7223230490018513</t>
  </si>
  <si>
    <t>Bar1, 5.444646098003703</t>
  </si>
  <si>
    <t>Bar2, 9.800362976406607</t>
  </si>
  <si>
    <t>Bar3, 20.68965517241382</t>
  </si>
  <si>
    <t>Bar4, 33.21234119782139</t>
  </si>
  <si>
    <t>Bar5, 47.36842105263051</t>
  </si>
  <si>
    <t>Bar6, 64.79128856624173</t>
  </si>
  <si>
    <t>Bar7, 83.84754990925389</t>
  </si>
  <si>
    <t>Bar8, 92.5589836660596</t>
  </si>
  <si>
    <t>Bar9, 120.87114337567773</t>
  </si>
  <si>
    <t>Bar10, 160.61705989110337</t>
  </si>
  <si>
    <t>Bar11, 207.98548094373393</t>
  </si>
  <si>
    <t>Bar12, 231.397459165149</t>
  </si>
  <si>
    <t>Bar13, 208.52994555353428</t>
  </si>
  <si>
    <t>Bar14, 287.4773139745851</t>
  </si>
  <si>
    <t>Bar15, 361.52450090743287</t>
  </si>
  <si>
    <t>Bar16, 456.26134301269366</t>
  </si>
  <si>
    <t>Bar17, 438.29401088929217</t>
  </si>
  <si>
    <t>Bar18, 544.464609800363</t>
  </si>
  <si>
    <t>https://www.sciencedirect.com/science/article/pii/S0921344920304390?via%3Dihub#sec0025</t>
  </si>
  <si>
    <t>World</t>
  </si>
  <si>
    <t>FCEV</t>
  </si>
  <si>
    <t>Region</t>
  </si>
  <si>
    <t>Powertrain Tech</t>
  </si>
  <si>
    <t>Year</t>
  </si>
  <si>
    <t>Units</t>
  </si>
  <si>
    <t>Raw data</t>
  </si>
  <si>
    <r>
      <t>Recalculated.</t>
    </r>
    <r>
      <rPr>
        <b/>
        <sz val="11"/>
        <color theme="1"/>
        <rFont val="Calibri"/>
        <family val="2"/>
        <scheme val="minor"/>
      </rPr>
      <t>Use this</t>
    </r>
  </si>
  <si>
    <t xml:space="preserve">Check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</si>
</sst>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\ %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name val="Times New Roman"/>
      <family val="1"/>
    </font>
    <font>
      <sz val="10"/>
      <name val="MS Sans Serif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/>
    <xf numFmtId="0" fontId="12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  <xf numFmtId="9" fontId="2" fillId="0" borderId="0" xfId="0" applyNumberFormat="1" applyFont="1"/>
    <xf numFmtId="0" fontId="0" fillId="0" borderId="0" xfId="0" applyAlignment="1"/>
    <xf numFmtId="14" fontId="2" fillId="0" borderId="0" xfId="0" applyNumberFormat="1" applyFont="1"/>
    <xf numFmtId="0" fontId="4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ill="1"/>
    <xf numFmtId="0" fontId="2" fillId="0" borderId="0" xfId="0" applyFont="1" applyFill="1"/>
    <xf numFmtId="9" fontId="0" fillId="0" borderId="0" xfId="1" applyFont="1" applyFill="1"/>
    <xf numFmtId="165" fontId="0" fillId="0" borderId="0" xfId="0" applyNumberFormat="1"/>
    <xf numFmtId="9" fontId="0" fillId="0" borderId="0" xfId="1" applyFont="1"/>
    <xf numFmtId="166" fontId="0" fillId="0" borderId="0" xfId="1" applyNumberFormat="1" applyFont="1"/>
    <xf numFmtId="9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2" fillId="0" borderId="8" xfId="0" applyFont="1" applyBorder="1" applyAlignment="1">
      <alignment horizontal="center"/>
    </xf>
    <xf numFmtId="167" fontId="0" fillId="0" borderId="0" xfId="0" applyNumberFormat="1"/>
    <xf numFmtId="0" fontId="0" fillId="0" borderId="0" xfId="0" applyProtection="1">
      <protection locked="0"/>
    </xf>
    <xf numFmtId="167" fontId="1" fillId="0" borderId="8" xfId="0" applyNumberFormat="1" applyFont="1" applyBorder="1" applyProtection="1">
      <protection locked="0"/>
    </xf>
    <xf numFmtId="167" fontId="0" fillId="0" borderId="8" xfId="0" applyNumberFormat="1" applyBorder="1" applyProtection="1">
      <protection locked="0"/>
    </xf>
    <xf numFmtId="164" fontId="1" fillId="0" borderId="0" xfId="1" applyNumberFormat="1" applyFont="1" applyBorder="1" applyProtection="1">
      <protection locked="0"/>
    </xf>
    <xf numFmtId="164" fontId="0" fillId="0" borderId="0" xfId="1" applyNumberFormat="1" applyFont="1" applyProtection="1">
      <protection locked="0"/>
    </xf>
    <xf numFmtId="164" fontId="0" fillId="0" borderId="0" xfId="0" applyNumberFormat="1" applyProtection="1">
      <protection locked="0"/>
    </xf>
    <xf numFmtId="164" fontId="1" fillId="0" borderId="8" xfId="1" applyNumberFormat="1" applyFont="1" applyBorder="1" applyProtection="1">
      <protection locked="0"/>
    </xf>
    <xf numFmtId="164" fontId="0" fillId="0" borderId="8" xfId="1" applyNumberFormat="1" applyFont="1" applyBorder="1" applyProtection="1">
      <protection locked="0"/>
    </xf>
    <xf numFmtId="0" fontId="2" fillId="3" borderId="0" xfId="0" applyFont="1" applyFill="1" applyProtection="1">
      <protection locked="0"/>
    </xf>
    <xf numFmtId="0" fontId="0" fillId="4" borderId="14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0" fillId="4" borderId="13" xfId="0" applyFill="1" applyBorder="1" applyProtection="1">
      <protection locked="0"/>
    </xf>
    <xf numFmtId="0" fontId="0" fillId="5" borderId="15" xfId="0" applyFill="1" applyBorder="1" applyProtection="1">
      <protection locked="0"/>
    </xf>
    <xf numFmtId="0" fontId="0" fillId="5" borderId="16" xfId="0" applyFill="1" applyBorder="1" applyProtection="1">
      <protection locked="0"/>
    </xf>
    <xf numFmtId="0" fontId="0" fillId="5" borderId="14" xfId="0" applyFill="1" applyBorder="1" applyProtection="1">
      <protection locked="0"/>
    </xf>
    <xf numFmtId="0" fontId="0" fillId="5" borderId="17" xfId="0" applyFill="1" applyBorder="1" applyProtection="1">
      <protection locked="0"/>
    </xf>
    <xf numFmtId="167" fontId="1" fillId="0" borderId="18" xfId="0" applyNumberFormat="1" applyFont="1" applyBorder="1" applyProtection="1">
      <protection locked="0"/>
    </xf>
    <xf numFmtId="167" fontId="1" fillId="0" borderId="19" xfId="0" applyNumberFormat="1" applyFont="1" applyBorder="1" applyProtection="1">
      <protection locked="0"/>
    </xf>
    <xf numFmtId="167" fontId="0" fillId="0" borderId="20" xfId="0" applyNumberFormat="1" applyBorder="1" applyProtection="1">
      <protection locked="0"/>
    </xf>
    <xf numFmtId="0" fontId="2" fillId="3" borderId="11" xfId="0" applyFont="1" applyFill="1" applyBorder="1" applyProtection="1">
      <protection locked="0"/>
    </xf>
    <xf numFmtId="167" fontId="0" fillId="0" borderId="11" xfId="0" applyNumberFormat="1" applyBorder="1"/>
    <xf numFmtId="167" fontId="0" fillId="0" borderId="12" xfId="0" applyNumberFormat="1" applyBorder="1"/>
    <xf numFmtId="167" fontId="0" fillId="0" borderId="13" xfId="0" applyNumberFormat="1" applyBorder="1"/>
    <xf numFmtId="0" fontId="0" fillId="0" borderId="12" xfId="0" applyBorder="1"/>
    <xf numFmtId="0" fontId="0" fillId="0" borderId="13" xfId="0" applyBorder="1"/>
    <xf numFmtId="2" fontId="0" fillId="0" borderId="0" xfId="0" applyNumberFormat="1"/>
    <xf numFmtId="2" fontId="1" fillId="0" borderId="0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0" fillId="0" borderId="8" xfId="0" applyFill="1" applyBorder="1" applyProtection="1">
      <protection locked="0"/>
    </xf>
    <xf numFmtId="0" fontId="2" fillId="0" borderId="21" xfId="0" applyFont="1" applyBorder="1"/>
    <xf numFmtId="0" fontId="2" fillId="0" borderId="10" xfId="0" applyFont="1" applyBorder="1"/>
    <xf numFmtId="0" fontId="2" fillId="0" borderId="8" xfId="0" applyFont="1" applyBorder="1"/>
    <xf numFmtId="0" fontId="0" fillId="6" borderId="0" xfId="0" applyFill="1"/>
    <xf numFmtId="0" fontId="0" fillId="7" borderId="0" xfId="0" applyFill="1"/>
    <xf numFmtId="1" fontId="0" fillId="0" borderId="0" xfId="0" applyNumberFormat="1"/>
    <xf numFmtId="10" fontId="0" fillId="0" borderId="0" xfId="0" applyNumberFormat="1"/>
    <xf numFmtId="0" fontId="2" fillId="0" borderId="0" xfId="0" applyFont="1" applyFill="1" applyAlignment="1"/>
    <xf numFmtId="0" fontId="2" fillId="0" borderId="0" xfId="0" applyFont="1" applyAlignment="1"/>
    <xf numFmtId="1" fontId="10" fillId="0" borderId="14" xfId="0" applyNumberFormat="1" applyFont="1" applyFill="1" applyBorder="1" applyAlignment="1">
      <alignment horizontal="center" vertical="center"/>
    </xf>
    <xf numFmtId="11" fontId="10" fillId="0" borderId="14" xfId="0" applyNumberFormat="1" applyFont="1" applyFill="1" applyBorder="1" applyAlignment="1">
      <alignment horizontal="right" vertical="justify"/>
    </xf>
    <xf numFmtId="11" fontId="10" fillId="2" borderId="14" xfId="0" applyNumberFormat="1" applyFont="1" applyFill="1" applyBorder="1" applyAlignment="1">
      <alignment horizontal="right" vertical="justify"/>
    </xf>
    <xf numFmtId="11" fontId="10" fillId="0" borderId="14" xfId="0" quotePrefix="1" applyNumberFormat="1" applyFont="1" applyFill="1" applyBorder="1" applyAlignment="1">
      <alignment horizontal="right" vertical="justify"/>
    </xf>
    <xf numFmtId="11" fontId="10" fillId="0" borderId="14" xfId="2" quotePrefix="1" applyNumberFormat="1" applyFont="1" applyFill="1" applyBorder="1" applyAlignment="1">
      <alignment horizontal="right" vertical="justify"/>
    </xf>
    <xf numFmtId="11" fontId="10" fillId="0" borderId="14" xfId="2" applyNumberFormat="1" applyFont="1" applyFill="1" applyBorder="1" applyAlignment="1">
      <alignment horizontal="right" vertical="justify"/>
    </xf>
    <xf numFmtId="11" fontId="0" fillId="0" borderId="0" xfId="0" applyNumberFormat="1"/>
    <xf numFmtId="0" fontId="0" fillId="0" borderId="0" xfId="0" applyNumberFormat="1"/>
    <xf numFmtId="11" fontId="10" fillId="0" borderId="0" xfId="0" quotePrefix="1" applyNumberFormat="1" applyFont="1" applyFill="1" applyBorder="1" applyAlignment="1">
      <alignment horizontal="right" vertical="justify"/>
    </xf>
    <xf numFmtId="0" fontId="12" fillId="0" borderId="0" xfId="3"/>
    <xf numFmtId="0" fontId="0" fillId="8" borderId="0" xfId="0" applyFill="1"/>
    <xf numFmtId="0" fontId="0" fillId="0" borderId="1" xfId="0" applyBorder="1"/>
    <xf numFmtId="0" fontId="0" fillId="0" borderId="22" xfId="0" applyBorder="1"/>
    <xf numFmtId="9" fontId="0" fillId="0" borderId="22" xfId="1" applyFont="1" applyBorder="1"/>
    <xf numFmtId="0" fontId="0" fillId="0" borderId="2" xfId="0" applyBorder="1"/>
    <xf numFmtId="0" fontId="2" fillId="0" borderId="3" xfId="0" applyFont="1" applyBorder="1"/>
    <xf numFmtId="9" fontId="0" fillId="0" borderId="0" xfId="1" applyFont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23" xfId="0" applyBorder="1"/>
    <xf numFmtId="9" fontId="0" fillId="0" borderId="23" xfId="1" applyFont="1" applyBorder="1"/>
    <xf numFmtId="0" fontId="0" fillId="0" borderId="6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3" borderId="11" xfId="0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9" fontId="0" fillId="0" borderId="0" xfId="0" applyNumberFormat="1"/>
  </cellXfs>
  <cellStyles count="4">
    <cellStyle name="Hyperlink" xfId="3" builtinId="8"/>
    <cellStyle name="Normal" xfId="0" builtinId="0"/>
    <cellStyle name="Normal_Sheet1" xfId="2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CAPEX!$D$3:$D$7</c:f>
              <c:numCache>
                <c:formatCode>General</c:formatCode>
                <c:ptCount val="5"/>
                <c:pt idx="0">
                  <c:v>5000000000</c:v>
                </c:pt>
                <c:pt idx="1">
                  <c:v>3600000000</c:v>
                </c:pt>
                <c:pt idx="2">
                  <c:v>2800000000</c:v>
                </c:pt>
                <c:pt idx="3">
                  <c:v>1920000000</c:v>
                </c:pt>
                <c:pt idx="4">
                  <c:v>4600000000</c:v>
                </c:pt>
              </c:numCache>
            </c:numRef>
          </c:xVal>
          <c:yVal>
            <c:numRef>
              <c:f>CAPEX!$C$3:$C$7</c:f>
              <c:numCache>
                <c:formatCode>General</c:formatCode>
                <c:ptCount val="5"/>
                <c:pt idx="0">
                  <c:v>50</c:v>
                </c:pt>
                <c:pt idx="1">
                  <c:v>24</c:v>
                </c:pt>
                <c:pt idx="2">
                  <c:v>65</c:v>
                </c:pt>
                <c:pt idx="3">
                  <c:v>18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1E-4814-A24E-383075DC1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257744"/>
        <c:axId val="729258072"/>
      </c:scatterChart>
      <c:valAx>
        <c:axId val="7292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58072"/>
        <c:crosses val="autoZero"/>
        <c:crossBetween val="midCat"/>
      </c:valAx>
      <c:valAx>
        <c:axId val="72925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5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Sheet2!$B$27</c:f>
              <c:strCache>
                <c:ptCount val="1"/>
                <c:pt idx="0">
                  <c:v>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Sheet2!$C$26:$BT$26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Sheet2!$C$27:$BT$27</c:f>
              <c:numCache>
                <c:formatCode>General</c:formatCode>
                <c:ptCount val="70"/>
                <c:pt idx="0">
                  <c:v>1.7857142857142856E-2</c:v>
                </c:pt>
                <c:pt idx="1">
                  <c:v>2.1133004926108374E-2</c:v>
                </c:pt>
                <c:pt idx="2">
                  <c:v>2.5123152709359605E-2</c:v>
                </c:pt>
                <c:pt idx="3">
                  <c:v>2.832512315270936E-2</c:v>
                </c:pt>
                <c:pt idx="4">
                  <c:v>3.2758620689655175E-2</c:v>
                </c:pt>
                <c:pt idx="5">
                  <c:v>3.6699507389162563E-2</c:v>
                </c:pt>
                <c:pt idx="6">
                  <c:v>3.9655172413793106E-2</c:v>
                </c:pt>
                <c:pt idx="7">
                  <c:v>4.3842364532019708E-2</c:v>
                </c:pt>
                <c:pt idx="8">
                  <c:v>4.8004926108374382E-2</c:v>
                </c:pt>
                <c:pt idx="9">
                  <c:v>5.3522167487684728E-2</c:v>
                </c:pt>
                <c:pt idx="10">
                  <c:v>5.7980295566502464E-2</c:v>
                </c:pt>
                <c:pt idx="11">
                  <c:v>6.0812807881773401E-2</c:v>
                </c:pt>
                <c:pt idx="12">
                  <c:v>6.4655172413793108E-2</c:v>
                </c:pt>
                <c:pt idx="13">
                  <c:v>7.2487684729064042E-2</c:v>
                </c:pt>
                <c:pt idx="14">
                  <c:v>7.7955665024630541E-2</c:v>
                </c:pt>
                <c:pt idx="15">
                  <c:v>8.2068965517241382E-2</c:v>
                </c:pt>
                <c:pt idx="16">
                  <c:v>8.8300492610837444E-2</c:v>
                </c:pt>
                <c:pt idx="17">
                  <c:v>9.3103448275862075E-2</c:v>
                </c:pt>
                <c:pt idx="18">
                  <c:v>0.10236453201970443</c:v>
                </c:pt>
                <c:pt idx="19">
                  <c:v>0.1067487684729064</c:v>
                </c:pt>
                <c:pt idx="20">
                  <c:v>0.11433497536945812</c:v>
                </c:pt>
                <c:pt idx="21">
                  <c:v>0.11817733990147783</c:v>
                </c:pt>
                <c:pt idx="22">
                  <c:v>0.12689655172413794</c:v>
                </c:pt>
                <c:pt idx="23">
                  <c:v>0.13376847290640395</c:v>
                </c:pt>
                <c:pt idx="24">
                  <c:v>0.14083743842364532</c:v>
                </c:pt>
                <c:pt idx="25">
                  <c:v>0.14532019704433496</c:v>
                </c:pt>
                <c:pt idx="26">
                  <c:v>0.16280788177339903</c:v>
                </c:pt>
                <c:pt idx="27">
                  <c:v>0.17290640394088669</c:v>
                </c:pt>
                <c:pt idx="28">
                  <c:v>0.17320197044334976</c:v>
                </c:pt>
                <c:pt idx="29">
                  <c:v>0.17295566502463053</c:v>
                </c:pt>
                <c:pt idx="30">
                  <c:v>0.18113300492610837</c:v>
                </c:pt>
                <c:pt idx="31">
                  <c:v>0.19633004926108374</c:v>
                </c:pt>
                <c:pt idx="32">
                  <c:v>0.21009852216748767</c:v>
                </c:pt>
                <c:pt idx="33">
                  <c:v>0.21487684729064038</c:v>
                </c:pt>
                <c:pt idx="34">
                  <c:v>0.21751231527093595</c:v>
                </c:pt>
                <c:pt idx="35">
                  <c:v>0.21839901477832513</c:v>
                </c:pt>
                <c:pt idx="36">
                  <c:v>0.21857142857142858</c:v>
                </c:pt>
                <c:pt idx="37">
                  <c:v>0.22576354679802957</c:v>
                </c:pt>
                <c:pt idx="38">
                  <c:v>0.23179802955665024</c:v>
                </c:pt>
                <c:pt idx="39">
                  <c:v>0.23630541871921182</c:v>
                </c:pt>
                <c:pt idx="40">
                  <c:v>0.24827586206896551</c:v>
                </c:pt>
                <c:pt idx="41">
                  <c:v>0.25935960591133006</c:v>
                </c:pt>
                <c:pt idx="42">
                  <c:v>0.27536945812807884</c:v>
                </c:pt>
                <c:pt idx="43">
                  <c:v>0.28300492610837441</c:v>
                </c:pt>
                <c:pt idx="44">
                  <c:v>0.2857142857142857</c:v>
                </c:pt>
                <c:pt idx="45">
                  <c:v>0.29113300492610839</c:v>
                </c:pt>
                <c:pt idx="46">
                  <c:v>0.30320197044334973</c:v>
                </c:pt>
                <c:pt idx="47">
                  <c:v>0.31798029556650248</c:v>
                </c:pt>
                <c:pt idx="48">
                  <c:v>0.33743842364532017</c:v>
                </c:pt>
                <c:pt idx="49">
                  <c:v>0.35591133004926107</c:v>
                </c:pt>
                <c:pt idx="50">
                  <c:v>0.36773399014778324</c:v>
                </c:pt>
                <c:pt idx="51">
                  <c:v>0.38103448275862067</c:v>
                </c:pt>
                <c:pt idx="52">
                  <c:v>0.37931034482758619</c:v>
                </c:pt>
                <c:pt idx="53">
                  <c:v>0.39408866995073893</c:v>
                </c:pt>
                <c:pt idx="54">
                  <c:v>0.40886699507389163</c:v>
                </c:pt>
                <c:pt idx="55">
                  <c:v>0.43103448275862066</c:v>
                </c:pt>
                <c:pt idx="56">
                  <c:v>0.45566502463054187</c:v>
                </c:pt>
                <c:pt idx="57">
                  <c:v>0.49753694581280788</c:v>
                </c:pt>
                <c:pt idx="58">
                  <c:v>0.53940886699507384</c:v>
                </c:pt>
                <c:pt idx="59">
                  <c:v>0.5788177339901478</c:v>
                </c:pt>
                <c:pt idx="60">
                  <c:v>0.64532019704433496</c:v>
                </c:pt>
                <c:pt idx="61">
                  <c:v>0.69211822660098521</c:v>
                </c:pt>
                <c:pt idx="62">
                  <c:v>0.70197044334975367</c:v>
                </c:pt>
                <c:pt idx="63">
                  <c:v>0.75123152709359609</c:v>
                </c:pt>
                <c:pt idx="64">
                  <c:v>0.81034482758620685</c:v>
                </c:pt>
                <c:pt idx="65">
                  <c:v>0.89408866995073888</c:v>
                </c:pt>
                <c:pt idx="66">
                  <c:v>0.94088669950738912</c:v>
                </c:pt>
                <c:pt idx="67">
                  <c:v>1.0024630541871922</c:v>
                </c:pt>
                <c:pt idx="68">
                  <c:v>1.0295566502463054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0-44D6-B0A9-791C67628DB9}"/>
            </c:ext>
          </c:extLst>
        </c:ser>
        <c:ser>
          <c:idx val="1"/>
          <c:order val="1"/>
          <c:tx>
            <c:strRef>
              <c:f>Sheet2!$B$28</c:f>
              <c:strCache>
                <c:ptCount val="1"/>
                <c:pt idx="0">
                  <c:v>Primary aluminium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Sheet2!$C$26:$BT$26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Sheet2!$C$28:$BT$28</c:f>
              <c:numCache>
                <c:formatCode>General</c:formatCode>
                <c:ptCount val="70"/>
                <c:pt idx="0">
                  <c:v>1.3739130434782608E-2</c:v>
                </c:pt>
                <c:pt idx="1">
                  <c:v>1.8782608695652174E-2</c:v>
                </c:pt>
                <c:pt idx="2">
                  <c:v>2.2086956521739129E-2</c:v>
                </c:pt>
                <c:pt idx="3">
                  <c:v>2.2782608695652174E-2</c:v>
                </c:pt>
                <c:pt idx="4">
                  <c:v>2.5913043478260869E-2</c:v>
                </c:pt>
                <c:pt idx="5">
                  <c:v>3.1304347826086959E-2</c:v>
                </c:pt>
                <c:pt idx="6">
                  <c:v>3.5826086956521737E-2</c:v>
                </c:pt>
                <c:pt idx="7">
                  <c:v>4.2956521739130435E-2</c:v>
                </c:pt>
                <c:pt idx="8">
                  <c:v>4.8869565217391303E-2</c:v>
                </c:pt>
                <c:pt idx="9">
                  <c:v>5.4608695652173911E-2</c:v>
                </c:pt>
                <c:pt idx="10">
                  <c:v>5.8608695652173914E-2</c:v>
                </c:pt>
                <c:pt idx="11">
                  <c:v>5.8608695652173914E-2</c:v>
                </c:pt>
                <c:pt idx="12">
                  <c:v>6.1043478260869567E-2</c:v>
                </c:pt>
                <c:pt idx="13">
                  <c:v>7.0608695652173911E-2</c:v>
                </c:pt>
                <c:pt idx="14">
                  <c:v>7.8086956521739137E-2</c:v>
                </c:pt>
                <c:pt idx="15">
                  <c:v>8.1739130434782606E-2</c:v>
                </c:pt>
                <c:pt idx="16">
                  <c:v>8.7999999999999995E-2</c:v>
                </c:pt>
                <c:pt idx="17">
                  <c:v>9.252173913043478E-2</c:v>
                </c:pt>
                <c:pt idx="18">
                  <c:v>0.10330434782608695</c:v>
                </c:pt>
                <c:pt idx="19">
                  <c:v>0.1097391304347826</c:v>
                </c:pt>
                <c:pt idx="20">
                  <c:v>0.11965217391304347</c:v>
                </c:pt>
                <c:pt idx="21">
                  <c:v>0.13165217391304349</c:v>
                </c:pt>
                <c:pt idx="22">
                  <c:v>0.13947826086956522</c:v>
                </c:pt>
                <c:pt idx="23">
                  <c:v>0.156</c:v>
                </c:pt>
                <c:pt idx="24">
                  <c:v>0.16782608695652174</c:v>
                </c:pt>
                <c:pt idx="25">
                  <c:v>0.17913043478260871</c:v>
                </c:pt>
                <c:pt idx="26">
                  <c:v>0.19130434782608696</c:v>
                </c:pt>
                <c:pt idx="27">
                  <c:v>0.21043478260869566</c:v>
                </c:pt>
                <c:pt idx="28">
                  <c:v>0.22956521739130434</c:v>
                </c:pt>
                <c:pt idx="29">
                  <c:v>0.21043478260869566</c:v>
                </c:pt>
                <c:pt idx="30">
                  <c:v>0.21913043478260869</c:v>
                </c:pt>
                <c:pt idx="31">
                  <c:v>0.24</c:v>
                </c:pt>
                <c:pt idx="32">
                  <c:v>0.24521739130434783</c:v>
                </c:pt>
                <c:pt idx="33">
                  <c:v>0.25391304347826088</c:v>
                </c:pt>
                <c:pt idx="34">
                  <c:v>0.26782608695652171</c:v>
                </c:pt>
                <c:pt idx="35">
                  <c:v>0.26260869565217393</c:v>
                </c:pt>
                <c:pt idx="36">
                  <c:v>0.23304347826086957</c:v>
                </c:pt>
                <c:pt idx="37">
                  <c:v>0.2417391304347826</c:v>
                </c:pt>
                <c:pt idx="38">
                  <c:v>0.27304347826086955</c:v>
                </c:pt>
                <c:pt idx="39">
                  <c:v>0.26782608695652171</c:v>
                </c:pt>
                <c:pt idx="40">
                  <c:v>0.26782608695652171</c:v>
                </c:pt>
                <c:pt idx="41">
                  <c:v>0.28695652173913044</c:v>
                </c:pt>
                <c:pt idx="42">
                  <c:v>0.32173913043478258</c:v>
                </c:pt>
                <c:pt idx="43">
                  <c:v>0.33043478260869563</c:v>
                </c:pt>
                <c:pt idx="44">
                  <c:v>0.33565217391304347</c:v>
                </c:pt>
                <c:pt idx="45">
                  <c:v>0.34260869565217389</c:v>
                </c:pt>
                <c:pt idx="46">
                  <c:v>0.33913043478260868</c:v>
                </c:pt>
                <c:pt idx="47">
                  <c:v>0.34434782608695652</c:v>
                </c:pt>
                <c:pt idx="48">
                  <c:v>0.3339130434782609</c:v>
                </c:pt>
                <c:pt idx="49">
                  <c:v>0.34260869565217389</c:v>
                </c:pt>
                <c:pt idx="50">
                  <c:v>0.36173913043478262</c:v>
                </c:pt>
                <c:pt idx="51">
                  <c:v>0.37739130434782608</c:v>
                </c:pt>
                <c:pt idx="52">
                  <c:v>0.39304347826086955</c:v>
                </c:pt>
                <c:pt idx="53">
                  <c:v>0.41043478260869565</c:v>
                </c:pt>
                <c:pt idx="54">
                  <c:v>0.4226086956521739</c:v>
                </c:pt>
                <c:pt idx="55">
                  <c:v>0.4226086956521739</c:v>
                </c:pt>
                <c:pt idx="56">
                  <c:v>0.45391304347826089</c:v>
                </c:pt>
                <c:pt idx="57">
                  <c:v>0.48695652173913045</c:v>
                </c:pt>
                <c:pt idx="58">
                  <c:v>0.52</c:v>
                </c:pt>
                <c:pt idx="59">
                  <c:v>0.55478260869565221</c:v>
                </c:pt>
                <c:pt idx="60">
                  <c:v>0.5895652173913043</c:v>
                </c:pt>
                <c:pt idx="61">
                  <c:v>0.65913043478260869</c:v>
                </c:pt>
                <c:pt idx="62">
                  <c:v>0.69043478260869562</c:v>
                </c:pt>
                <c:pt idx="63">
                  <c:v>0.64695652173913043</c:v>
                </c:pt>
                <c:pt idx="64">
                  <c:v>0.72695652173913039</c:v>
                </c:pt>
                <c:pt idx="65">
                  <c:v>0.81391304347826088</c:v>
                </c:pt>
                <c:pt idx="66">
                  <c:v>0.85565217391304349</c:v>
                </c:pt>
                <c:pt idx="67">
                  <c:v>0.90260869565217394</c:v>
                </c:pt>
                <c:pt idx="68">
                  <c:v>0.93913043478260871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0-44D6-B0A9-791C67628DB9}"/>
            </c:ext>
          </c:extLst>
        </c:ser>
        <c:ser>
          <c:idx val="2"/>
          <c:order val="2"/>
          <c:tx>
            <c:strRef>
              <c:f>Sheet2!$B$29</c:f>
              <c:strCache>
                <c:ptCount val="1"/>
                <c:pt idx="0">
                  <c:v>Baseline SSP2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Sheet2!$C$26:$BT$26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Sheet2!$C$29:$BO$29</c:f>
              <c:numCache>
                <c:formatCode>General</c:formatCode>
                <c:ptCount val="65"/>
                <c:pt idx="29">
                  <c:v>0.11198406965135248</c:v>
                </c:pt>
                <c:pt idx="30">
                  <c:v>0.12671382819348109</c:v>
                </c:pt>
                <c:pt idx="31">
                  <c:v>0.13159854904996174</c:v>
                </c:pt>
                <c:pt idx="32">
                  <c:v>0.14102447694413289</c:v>
                </c:pt>
                <c:pt idx="33">
                  <c:v>0.14579458176516014</c:v>
                </c:pt>
                <c:pt idx="34">
                  <c:v>0.15631506224920333</c:v>
                </c:pt>
                <c:pt idx="35">
                  <c:v>0.15431636801290471</c:v>
                </c:pt>
                <c:pt idx="36">
                  <c:v>0.16915613777851662</c:v>
                </c:pt>
                <c:pt idx="37">
                  <c:v>0.17645810228169703</c:v>
                </c:pt>
                <c:pt idx="38">
                  <c:v>0.19030729248329423</c:v>
                </c:pt>
                <c:pt idx="39">
                  <c:v>0.21060281746242468</c:v>
                </c:pt>
                <c:pt idx="40">
                  <c:v>0.285988034847596</c:v>
                </c:pt>
                <c:pt idx="41">
                  <c:v>0.29646524472703939</c:v>
                </c:pt>
                <c:pt idx="42">
                  <c:v>0.33748769466610451</c:v>
                </c:pt>
                <c:pt idx="43">
                  <c:v>0.34317572215853309</c:v>
                </c:pt>
                <c:pt idx="44">
                  <c:v>0.3689227373833337</c:v>
                </c:pt>
                <c:pt idx="45">
                  <c:v>0.37045494219656383</c:v>
                </c:pt>
                <c:pt idx="46">
                  <c:v>0.40838423802467155</c:v>
                </c:pt>
                <c:pt idx="47">
                  <c:v>0.42104051213147808</c:v>
                </c:pt>
                <c:pt idx="48">
                  <c:v>0.44925679003619884</c:v>
                </c:pt>
                <c:pt idx="49">
                  <c:v>0.45918127453390256</c:v>
                </c:pt>
                <c:pt idx="50">
                  <c:v>0.47483503776420793</c:v>
                </c:pt>
                <c:pt idx="51">
                  <c:v>0.48210194588273458</c:v>
                </c:pt>
                <c:pt idx="52">
                  <c:v>0.56518827805685401</c:v>
                </c:pt>
                <c:pt idx="53">
                  <c:v>0.58879040360579293</c:v>
                </c:pt>
                <c:pt idx="54">
                  <c:v>0.68732230554106988</c:v>
                </c:pt>
                <c:pt idx="55">
                  <c:v>0.65392017440953609</c:v>
                </c:pt>
                <c:pt idx="56">
                  <c:v>0.71622736112658014</c:v>
                </c:pt>
                <c:pt idx="57">
                  <c:v>0.68662437571857526</c:v>
                </c:pt>
                <c:pt idx="58">
                  <c:v>0.69942799564170355</c:v>
                </c:pt>
                <c:pt idx="59">
                  <c:v>0.68861054335099137</c:v>
                </c:pt>
                <c:pt idx="60">
                  <c:v>0.67680338974387289</c:v>
                </c:pt>
                <c:pt idx="61">
                  <c:v>0.80466245097710365</c:v>
                </c:pt>
                <c:pt idx="62">
                  <c:v>0.83278575348841344</c:v>
                </c:pt>
                <c:pt idx="63">
                  <c:v>0.85869823894550534</c:v>
                </c:pt>
                <c:pt idx="64">
                  <c:v>0.88423876124656564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0-44D6-B0A9-791C67628DB9}"/>
            </c:ext>
          </c:extLst>
        </c:ser>
        <c:ser>
          <c:idx val="3"/>
          <c:order val="3"/>
          <c:tx>
            <c:strRef>
              <c:f>Sheet2!$B$30</c:f>
              <c:strCache>
                <c:ptCount val="1"/>
                <c:pt idx="0">
                  <c:v>Baseline SSP1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Sheet2!$C$26:$BT$26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Sheet2!$C$30:$BO$30</c:f>
              <c:numCache>
                <c:formatCode>General</c:formatCode>
                <c:ptCount val="65"/>
                <c:pt idx="29">
                  <c:v>0.14115268348786097</c:v>
                </c:pt>
                <c:pt idx="30">
                  <c:v>0.15827031028038271</c:v>
                </c:pt>
                <c:pt idx="31">
                  <c:v>0.16214782947839254</c:v>
                </c:pt>
                <c:pt idx="32">
                  <c:v>0.17190650551889677</c:v>
                </c:pt>
                <c:pt idx="33">
                  <c:v>0.17546178758671518</c:v>
                </c:pt>
                <c:pt idx="34">
                  <c:v>0.18618534302971573</c:v>
                </c:pt>
                <c:pt idx="35">
                  <c:v>0.18058373975907796</c:v>
                </c:pt>
                <c:pt idx="36">
                  <c:v>0.19610792424709864</c:v>
                </c:pt>
                <c:pt idx="37">
                  <c:v>0.20171048785591783</c:v>
                </c:pt>
                <c:pt idx="38">
                  <c:v>0.21513153028213439</c:v>
                </c:pt>
                <c:pt idx="39">
                  <c:v>0.2361118297414945</c:v>
                </c:pt>
                <c:pt idx="40">
                  <c:v>0.33457516275394789</c:v>
                </c:pt>
                <c:pt idx="41">
                  <c:v>0.34217095141129561</c:v>
                </c:pt>
                <c:pt idx="42">
                  <c:v>0.3867586938745553</c:v>
                </c:pt>
                <c:pt idx="43">
                  <c:v>0.3885127175792068</c:v>
                </c:pt>
                <c:pt idx="44">
                  <c:v>0.41493527600464092</c:v>
                </c:pt>
                <c:pt idx="45">
                  <c:v>0.41290108711327633</c:v>
                </c:pt>
                <c:pt idx="46">
                  <c:v>0.45460774712995239</c:v>
                </c:pt>
                <c:pt idx="47">
                  <c:v>0.46684384504750753</c:v>
                </c:pt>
                <c:pt idx="48">
                  <c:v>0.49828437855224972</c:v>
                </c:pt>
                <c:pt idx="49">
                  <c:v>0.5091262689278675</c:v>
                </c:pt>
                <c:pt idx="50">
                  <c:v>0.52037028479351866</c:v>
                </c:pt>
                <c:pt idx="51">
                  <c:v>0.52770090372535339</c:v>
                </c:pt>
                <c:pt idx="52">
                  <c:v>0.62304778097389735</c:v>
                </c:pt>
                <c:pt idx="53">
                  <c:v>0.65007909120030971</c:v>
                </c:pt>
                <c:pt idx="54">
                  <c:v>0.76409836928340391</c:v>
                </c:pt>
                <c:pt idx="55">
                  <c:v>0.72769217917696749</c:v>
                </c:pt>
                <c:pt idx="56">
                  <c:v>0.80359828828503577</c:v>
                </c:pt>
                <c:pt idx="57">
                  <c:v>0.77574574563026388</c:v>
                </c:pt>
                <c:pt idx="58">
                  <c:v>0.79801021472974176</c:v>
                </c:pt>
                <c:pt idx="59">
                  <c:v>0.79491036248655633</c:v>
                </c:pt>
                <c:pt idx="60">
                  <c:v>0.71956947820233119</c:v>
                </c:pt>
                <c:pt idx="61">
                  <c:v>0.80305436653916396</c:v>
                </c:pt>
                <c:pt idx="62">
                  <c:v>0.82950070297133904</c:v>
                </c:pt>
                <c:pt idx="63">
                  <c:v>0.85518126305877074</c:v>
                </c:pt>
                <c:pt idx="64">
                  <c:v>0.88083757816055419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0-44D6-B0A9-791C67628DB9}"/>
            </c:ext>
          </c:extLst>
        </c:ser>
        <c:ser>
          <c:idx val="4"/>
          <c:order val="4"/>
          <c:tx>
            <c:strRef>
              <c:f>Sheet2!$B$31</c:f>
              <c:strCache>
                <c:ptCount val="1"/>
                <c:pt idx="0">
                  <c:v>RCP2.6 SSP2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Sheet2!$C$26:$BT$26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Sheet2!$C$31:$BT$31</c:f>
              <c:numCache>
                <c:formatCode>General</c:formatCode>
                <c:ptCount val="70"/>
                <c:pt idx="48">
                  <c:v>0.14707710259354001</c:v>
                </c:pt>
                <c:pt idx="49">
                  <c:v>0.17859396004991271</c:v>
                </c:pt>
                <c:pt idx="50">
                  <c:v>0.20071537095507927</c:v>
                </c:pt>
                <c:pt idx="51">
                  <c:v>0.22865929980916586</c:v>
                </c:pt>
                <c:pt idx="52">
                  <c:v>0.25120269625110647</c:v>
                </c:pt>
                <c:pt idx="53">
                  <c:v>0.28230582752500127</c:v>
                </c:pt>
                <c:pt idx="54">
                  <c:v>0.29316755853478998</c:v>
                </c:pt>
                <c:pt idx="55">
                  <c:v>0.32294848048730329</c:v>
                </c:pt>
                <c:pt idx="56">
                  <c:v>0.33959091079264908</c:v>
                </c:pt>
                <c:pt idx="57">
                  <c:v>0.36888175383940253</c:v>
                </c:pt>
                <c:pt idx="58">
                  <c:v>0.41259373246008041</c:v>
                </c:pt>
                <c:pt idx="59">
                  <c:v>0.46137140864866943</c:v>
                </c:pt>
                <c:pt idx="60">
                  <c:v>0.49222339956231925</c:v>
                </c:pt>
                <c:pt idx="61">
                  <c:v>0.58244039312706275</c:v>
                </c:pt>
                <c:pt idx="62">
                  <c:v>0.59984207271856282</c:v>
                </c:pt>
                <c:pt idx="63">
                  <c:v>0.6518779442344419</c:v>
                </c:pt>
                <c:pt idx="64">
                  <c:v>0.65457517287356282</c:v>
                </c:pt>
                <c:pt idx="65">
                  <c:v>0.74846163620978778</c:v>
                </c:pt>
                <c:pt idx="66">
                  <c:v>0.79733580584312735</c:v>
                </c:pt>
                <c:pt idx="67">
                  <c:v>0.87671724905197512</c:v>
                </c:pt>
                <c:pt idx="68">
                  <c:v>0.91822583033642902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20-44D6-B0A9-791C67628DB9}"/>
            </c:ext>
          </c:extLst>
        </c:ser>
        <c:ser>
          <c:idx val="5"/>
          <c:order val="5"/>
          <c:tx>
            <c:strRef>
              <c:f>Sheet2!$B$32</c:f>
              <c:strCache>
                <c:ptCount val="1"/>
                <c:pt idx="0">
                  <c:v>RCP2.6 SSP1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Sheet2!$C$26:$BT$26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Sheet2!$C$32:$BT$32</c:f>
              <c:numCache>
                <c:formatCode>General</c:formatCode>
                <c:ptCount val="70"/>
                <c:pt idx="48">
                  <c:v>0.1758214435644625</c:v>
                </c:pt>
                <c:pt idx="49">
                  <c:v>0.21096392299928299</c:v>
                </c:pt>
                <c:pt idx="50">
                  <c:v>0.23384158674156505</c:v>
                </c:pt>
                <c:pt idx="51">
                  <c:v>0.26319869920330946</c:v>
                </c:pt>
                <c:pt idx="52">
                  <c:v>0.2854040824615911</c:v>
                </c:pt>
                <c:pt idx="53">
                  <c:v>0.3170699949226532</c:v>
                </c:pt>
                <c:pt idx="54">
                  <c:v>0.32412098569862519</c:v>
                </c:pt>
                <c:pt idx="55">
                  <c:v>0.35286698530983207</c:v>
                </c:pt>
                <c:pt idx="56">
                  <c:v>0.36570333741487659</c:v>
                </c:pt>
                <c:pt idx="57">
                  <c:v>0.39252985157428882</c:v>
                </c:pt>
                <c:pt idx="58">
                  <c:v>0.43500109481714289</c:v>
                </c:pt>
                <c:pt idx="59">
                  <c:v>0.47960621765477884</c:v>
                </c:pt>
                <c:pt idx="60">
                  <c:v>0.50593622464528254</c:v>
                </c:pt>
                <c:pt idx="61">
                  <c:v>0.59739253864844</c:v>
                </c:pt>
                <c:pt idx="62">
                  <c:v>0.60820287460485523</c:v>
                </c:pt>
                <c:pt idx="63">
                  <c:v>0.65732540706257359</c:v>
                </c:pt>
                <c:pt idx="64">
                  <c:v>0.65366992992074402</c:v>
                </c:pt>
                <c:pt idx="65">
                  <c:v>0.74841368476714587</c:v>
                </c:pt>
                <c:pt idx="66">
                  <c:v>0.79519075008800233</c:v>
                </c:pt>
                <c:pt idx="67">
                  <c:v>0.87504311879625551</c:v>
                </c:pt>
                <c:pt idx="68">
                  <c:v>0.91585344196965357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20-44D6-B0A9-791C67628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919568"/>
        <c:axId val="898923832"/>
      </c:lineChart>
      <c:catAx>
        <c:axId val="89891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23832"/>
        <c:crosses val="autoZero"/>
        <c:auto val="1"/>
        <c:lblAlgn val="ctr"/>
        <c:lblOffset val="100"/>
        <c:noMultiLvlLbl val="0"/>
      </c:catAx>
      <c:valAx>
        <c:axId val="89892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1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Sheet2!$B$68</c:f>
              <c:strCache>
                <c:ptCount val="1"/>
                <c:pt idx="0">
                  <c:v>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Sheet2!$C$67:$BT$67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Sheet2!$C$68:$BT$68</c:f>
              <c:numCache>
                <c:formatCode>General</c:formatCode>
                <c:ptCount val="70"/>
                <c:pt idx="0">
                  <c:v>1.7857142857142856E-2</c:v>
                </c:pt>
                <c:pt idx="1">
                  <c:v>2.1133004926108374E-2</c:v>
                </c:pt>
                <c:pt idx="2">
                  <c:v>2.5123152709359605E-2</c:v>
                </c:pt>
                <c:pt idx="3">
                  <c:v>2.832512315270936E-2</c:v>
                </c:pt>
                <c:pt idx="4">
                  <c:v>3.2758620689655175E-2</c:v>
                </c:pt>
                <c:pt idx="5">
                  <c:v>3.6699507389162563E-2</c:v>
                </c:pt>
                <c:pt idx="6">
                  <c:v>3.9655172413793106E-2</c:v>
                </c:pt>
                <c:pt idx="7">
                  <c:v>4.3842364532019708E-2</c:v>
                </c:pt>
                <c:pt idx="8">
                  <c:v>4.8004926108374382E-2</c:v>
                </c:pt>
                <c:pt idx="9">
                  <c:v>5.3522167487684728E-2</c:v>
                </c:pt>
                <c:pt idx="10">
                  <c:v>5.7980295566502464E-2</c:v>
                </c:pt>
                <c:pt idx="11">
                  <c:v>6.0812807881773401E-2</c:v>
                </c:pt>
                <c:pt idx="12">
                  <c:v>6.4655172413793108E-2</c:v>
                </c:pt>
                <c:pt idx="13">
                  <c:v>7.2487684729064042E-2</c:v>
                </c:pt>
                <c:pt idx="14">
                  <c:v>7.7955665024630541E-2</c:v>
                </c:pt>
                <c:pt idx="15">
                  <c:v>8.2068965517241382E-2</c:v>
                </c:pt>
                <c:pt idx="16">
                  <c:v>8.8300492610837444E-2</c:v>
                </c:pt>
                <c:pt idx="17">
                  <c:v>9.3103448275862075E-2</c:v>
                </c:pt>
                <c:pt idx="18">
                  <c:v>0.10236453201970443</c:v>
                </c:pt>
                <c:pt idx="19">
                  <c:v>0.1067487684729064</c:v>
                </c:pt>
                <c:pt idx="20">
                  <c:v>0.11433497536945812</c:v>
                </c:pt>
                <c:pt idx="21">
                  <c:v>0.11817733990147783</c:v>
                </c:pt>
                <c:pt idx="22">
                  <c:v>0.12689655172413794</c:v>
                </c:pt>
                <c:pt idx="23">
                  <c:v>0.13376847290640395</c:v>
                </c:pt>
                <c:pt idx="24">
                  <c:v>0.14083743842364532</c:v>
                </c:pt>
                <c:pt idx="25">
                  <c:v>0.14532019704433496</c:v>
                </c:pt>
                <c:pt idx="26">
                  <c:v>0.16280788177339903</c:v>
                </c:pt>
                <c:pt idx="27">
                  <c:v>0.17290640394088669</c:v>
                </c:pt>
                <c:pt idx="28">
                  <c:v>0.17320197044334976</c:v>
                </c:pt>
                <c:pt idx="29">
                  <c:v>0.17295566502463053</c:v>
                </c:pt>
                <c:pt idx="30">
                  <c:v>0.18113300492610837</c:v>
                </c:pt>
                <c:pt idx="31">
                  <c:v>0.19633004926108374</c:v>
                </c:pt>
                <c:pt idx="32">
                  <c:v>0.21009852216748767</c:v>
                </c:pt>
                <c:pt idx="33">
                  <c:v>0.21487684729064038</c:v>
                </c:pt>
                <c:pt idx="34">
                  <c:v>0.21751231527093595</c:v>
                </c:pt>
                <c:pt idx="35">
                  <c:v>0.21839901477832513</c:v>
                </c:pt>
                <c:pt idx="36">
                  <c:v>0.21857142857142858</c:v>
                </c:pt>
                <c:pt idx="37">
                  <c:v>0.22576354679802957</c:v>
                </c:pt>
                <c:pt idx="38">
                  <c:v>0.23179802955665024</c:v>
                </c:pt>
                <c:pt idx="39">
                  <c:v>0.23630541871921182</c:v>
                </c:pt>
                <c:pt idx="40">
                  <c:v>0.24827586206896551</c:v>
                </c:pt>
                <c:pt idx="41">
                  <c:v>0.25935960591133006</c:v>
                </c:pt>
                <c:pt idx="42">
                  <c:v>0.27536945812807884</c:v>
                </c:pt>
                <c:pt idx="43">
                  <c:v>0.28300492610837441</c:v>
                </c:pt>
                <c:pt idx="44">
                  <c:v>0.2857142857142857</c:v>
                </c:pt>
                <c:pt idx="45">
                  <c:v>0.29113300492610839</c:v>
                </c:pt>
                <c:pt idx="46">
                  <c:v>0.30320197044334973</c:v>
                </c:pt>
                <c:pt idx="47">
                  <c:v>0.31798029556650248</c:v>
                </c:pt>
                <c:pt idx="48">
                  <c:v>0.33743842364532017</c:v>
                </c:pt>
                <c:pt idx="49">
                  <c:v>0.35591133004926107</c:v>
                </c:pt>
                <c:pt idx="50">
                  <c:v>0.36773399014778324</c:v>
                </c:pt>
                <c:pt idx="51">
                  <c:v>0.38103448275862067</c:v>
                </c:pt>
                <c:pt idx="52">
                  <c:v>0.37931034482758619</c:v>
                </c:pt>
                <c:pt idx="53">
                  <c:v>0.39408866995073893</c:v>
                </c:pt>
                <c:pt idx="54">
                  <c:v>0.40886699507389163</c:v>
                </c:pt>
                <c:pt idx="55">
                  <c:v>0.43103448275862066</c:v>
                </c:pt>
                <c:pt idx="56">
                  <c:v>0.45566502463054187</c:v>
                </c:pt>
                <c:pt idx="57">
                  <c:v>0.49753694581280788</c:v>
                </c:pt>
                <c:pt idx="58">
                  <c:v>0.53940886699507384</c:v>
                </c:pt>
                <c:pt idx="59">
                  <c:v>0.5788177339901478</c:v>
                </c:pt>
                <c:pt idx="60">
                  <c:v>0.64532019704433496</c:v>
                </c:pt>
                <c:pt idx="61">
                  <c:v>0.69211822660098521</c:v>
                </c:pt>
                <c:pt idx="62">
                  <c:v>0.70197044334975367</c:v>
                </c:pt>
                <c:pt idx="63">
                  <c:v>0.75123152709359609</c:v>
                </c:pt>
                <c:pt idx="64">
                  <c:v>0.81034482758620685</c:v>
                </c:pt>
                <c:pt idx="65">
                  <c:v>0.89408866995073888</c:v>
                </c:pt>
                <c:pt idx="66">
                  <c:v>0.94088669950738912</c:v>
                </c:pt>
                <c:pt idx="67">
                  <c:v>1.0024630541871922</c:v>
                </c:pt>
                <c:pt idx="68">
                  <c:v>1.0295566502463054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3-4FEE-A0A4-CDA5BED4591C}"/>
            </c:ext>
          </c:extLst>
        </c:ser>
        <c:ser>
          <c:idx val="1"/>
          <c:order val="1"/>
          <c:tx>
            <c:strRef>
              <c:f>Sheet2!$B$69</c:f>
              <c:strCache>
                <c:ptCount val="1"/>
                <c:pt idx="0">
                  <c:v>Primary aluminium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Sheet2!$C$67:$BT$67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Sheet2!$C$69:$BT$69</c:f>
              <c:numCache>
                <c:formatCode>General</c:formatCode>
                <c:ptCount val="70"/>
                <c:pt idx="0">
                  <c:v>1.3739130434782608E-2</c:v>
                </c:pt>
                <c:pt idx="1">
                  <c:v>1.8782608695652174E-2</c:v>
                </c:pt>
                <c:pt idx="2">
                  <c:v>2.2086956521739129E-2</c:v>
                </c:pt>
                <c:pt idx="3">
                  <c:v>2.2782608695652174E-2</c:v>
                </c:pt>
                <c:pt idx="4">
                  <c:v>2.5913043478260869E-2</c:v>
                </c:pt>
                <c:pt idx="5">
                  <c:v>3.1304347826086959E-2</c:v>
                </c:pt>
                <c:pt idx="6">
                  <c:v>3.5826086956521737E-2</c:v>
                </c:pt>
                <c:pt idx="7">
                  <c:v>4.2956521739130435E-2</c:v>
                </c:pt>
                <c:pt idx="8">
                  <c:v>4.8869565217391303E-2</c:v>
                </c:pt>
                <c:pt idx="9">
                  <c:v>5.4608695652173911E-2</c:v>
                </c:pt>
                <c:pt idx="10">
                  <c:v>5.8608695652173914E-2</c:v>
                </c:pt>
                <c:pt idx="11">
                  <c:v>5.8608695652173914E-2</c:v>
                </c:pt>
                <c:pt idx="12">
                  <c:v>6.1043478260869567E-2</c:v>
                </c:pt>
                <c:pt idx="13">
                  <c:v>7.0608695652173911E-2</c:v>
                </c:pt>
                <c:pt idx="14">
                  <c:v>7.8086956521739137E-2</c:v>
                </c:pt>
                <c:pt idx="15">
                  <c:v>8.1739130434782606E-2</c:v>
                </c:pt>
                <c:pt idx="16">
                  <c:v>8.7999999999999995E-2</c:v>
                </c:pt>
                <c:pt idx="17">
                  <c:v>9.252173913043478E-2</c:v>
                </c:pt>
                <c:pt idx="18">
                  <c:v>0.10330434782608695</c:v>
                </c:pt>
                <c:pt idx="19">
                  <c:v>0.1097391304347826</c:v>
                </c:pt>
                <c:pt idx="20">
                  <c:v>0.11965217391304347</c:v>
                </c:pt>
                <c:pt idx="21">
                  <c:v>0.13165217391304349</c:v>
                </c:pt>
                <c:pt idx="22">
                  <c:v>0.13947826086956522</c:v>
                </c:pt>
                <c:pt idx="23">
                  <c:v>0.156</c:v>
                </c:pt>
                <c:pt idx="24">
                  <c:v>0.16782608695652174</c:v>
                </c:pt>
                <c:pt idx="25">
                  <c:v>0.17913043478260871</c:v>
                </c:pt>
                <c:pt idx="26">
                  <c:v>0.19130434782608696</c:v>
                </c:pt>
                <c:pt idx="27">
                  <c:v>0.21043478260869566</c:v>
                </c:pt>
                <c:pt idx="28">
                  <c:v>0.22956521739130434</c:v>
                </c:pt>
                <c:pt idx="29">
                  <c:v>0.21043478260869566</c:v>
                </c:pt>
                <c:pt idx="30">
                  <c:v>0.21913043478260869</c:v>
                </c:pt>
                <c:pt idx="31">
                  <c:v>0.24</c:v>
                </c:pt>
                <c:pt idx="32">
                  <c:v>0.24521739130434783</c:v>
                </c:pt>
                <c:pt idx="33">
                  <c:v>0.25391304347826088</c:v>
                </c:pt>
                <c:pt idx="34">
                  <c:v>0.26782608695652171</c:v>
                </c:pt>
                <c:pt idx="35">
                  <c:v>0.26260869565217393</c:v>
                </c:pt>
                <c:pt idx="36">
                  <c:v>0.23304347826086957</c:v>
                </c:pt>
                <c:pt idx="37">
                  <c:v>0.2417391304347826</c:v>
                </c:pt>
                <c:pt idx="38">
                  <c:v>0.27304347826086955</c:v>
                </c:pt>
                <c:pt idx="39">
                  <c:v>0.26782608695652171</c:v>
                </c:pt>
                <c:pt idx="40">
                  <c:v>0.26782608695652171</c:v>
                </c:pt>
                <c:pt idx="41">
                  <c:v>0.28695652173913044</c:v>
                </c:pt>
                <c:pt idx="42">
                  <c:v>0.32173913043478258</c:v>
                </c:pt>
                <c:pt idx="43">
                  <c:v>0.33043478260869563</c:v>
                </c:pt>
                <c:pt idx="44">
                  <c:v>0.33565217391304347</c:v>
                </c:pt>
                <c:pt idx="45">
                  <c:v>0.34260869565217389</c:v>
                </c:pt>
                <c:pt idx="46">
                  <c:v>0.33913043478260868</c:v>
                </c:pt>
                <c:pt idx="47">
                  <c:v>0.34434782608695652</c:v>
                </c:pt>
                <c:pt idx="48">
                  <c:v>0.3339130434782609</c:v>
                </c:pt>
                <c:pt idx="49">
                  <c:v>0.34260869565217389</c:v>
                </c:pt>
                <c:pt idx="50">
                  <c:v>0.36173913043478262</c:v>
                </c:pt>
                <c:pt idx="51">
                  <c:v>0.37739130434782608</c:v>
                </c:pt>
                <c:pt idx="52">
                  <c:v>0.39304347826086955</c:v>
                </c:pt>
                <c:pt idx="53">
                  <c:v>0.41043478260869565</c:v>
                </c:pt>
                <c:pt idx="54">
                  <c:v>0.4226086956521739</c:v>
                </c:pt>
                <c:pt idx="55">
                  <c:v>0.4226086956521739</c:v>
                </c:pt>
                <c:pt idx="56">
                  <c:v>0.45391304347826089</c:v>
                </c:pt>
                <c:pt idx="57">
                  <c:v>0.48695652173913045</c:v>
                </c:pt>
                <c:pt idx="58">
                  <c:v>0.52</c:v>
                </c:pt>
                <c:pt idx="59">
                  <c:v>0.55478260869565221</c:v>
                </c:pt>
                <c:pt idx="60">
                  <c:v>0.5895652173913043</c:v>
                </c:pt>
                <c:pt idx="61">
                  <c:v>0.65913043478260869</c:v>
                </c:pt>
                <c:pt idx="62">
                  <c:v>0.69043478260869562</c:v>
                </c:pt>
                <c:pt idx="63">
                  <c:v>0.64695652173913043</c:v>
                </c:pt>
                <c:pt idx="64">
                  <c:v>0.72695652173913039</c:v>
                </c:pt>
                <c:pt idx="65">
                  <c:v>0.81391304347826088</c:v>
                </c:pt>
                <c:pt idx="66">
                  <c:v>0.85565217391304349</c:v>
                </c:pt>
                <c:pt idx="67">
                  <c:v>0.90260869565217394</c:v>
                </c:pt>
                <c:pt idx="68">
                  <c:v>0.93913043478260871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3-4FEE-A0A4-CDA5BED4591C}"/>
            </c:ext>
          </c:extLst>
        </c:ser>
        <c:ser>
          <c:idx val="2"/>
          <c:order val="2"/>
          <c:tx>
            <c:strRef>
              <c:f>Sheet2!$B$70</c:f>
              <c:strCache>
                <c:ptCount val="1"/>
                <c:pt idx="0">
                  <c:v>Baseline SSP2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Sheet2!$C$67:$BT$67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Sheet2!$C$70:$BT$70</c:f>
              <c:numCache>
                <c:formatCode>General</c:formatCode>
                <c:ptCount val="70"/>
                <c:pt idx="0">
                  <c:v>0.11198406965135248</c:v>
                </c:pt>
                <c:pt idx="1">
                  <c:v>0.12671382819348109</c:v>
                </c:pt>
                <c:pt idx="2">
                  <c:v>0.13159854904996174</c:v>
                </c:pt>
                <c:pt idx="3">
                  <c:v>0.14102447694413289</c:v>
                </c:pt>
                <c:pt idx="4">
                  <c:v>0.14579458176516014</c:v>
                </c:pt>
                <c:pt idx="5">
                  <c:v>0.15631506224920333</c:v>
                </c:pt>
                <c:pt idx="6">
                  <c:v>0.15431636801290471</c:v>
                </c:pt>
                <c:pt idx="7">
                  <c:v>0.16915613777851662</c:v>
                </c:pt>
                <c:pt idx="8">
                  <c:v>0.17645810228169703</c:v>
                </c:pt>
                <c:pt idx="9">
                  <c:v>0.19030729248329423</c:v>
                </c:pt>
                <c:pt idx="10">
                  <c:v>0.21060281746242468</c:v>
                </c:pt>
                <c:pt idx="11">
                  <c:v>0.285988034847596</c:v>
                </c:pt>
                <c:pt idx="12">
                  <c:v>0.29646524472703939</c:v>
                </c:pt>
                <c:pt idx="13">
                  <c:v>0.33748769466610451</c:v>
                </c:pt>
                <c:pt idx="14">
                  <c:v>0.34317572215853309</c:v>
                </c:pt>
                <c:pt idx="15">
                  <c:v>0.3689227373833337</c:v>
                </c:pt>
                <c:pt idx="16">
                  <c:v>0.37045494219656383</c:v>
                </c:pt>
                <c:pt idx="17">
                  <c:v>0.40838423802467155</c:v>
                </c:pt>
                <c:pt idx="18">
                  <c:v>0.42104051213147808</c:v>
                </c:pt>
                <c:pt idx="19">
                  <c:v>0.44925679003619884</c:v>
                </c:pt>
                <c:pt idx="20">
                  <c:v>0.45918127453390256</c:v>
                </c:pt>
                <c:pt idx="21">
                  <c:v>0.47483503776420793</c:v>
                </c:pt>
                <c:pt idx="22">
                  <c:v>0.48210194588273458</c:v>
                </c:pt>
                <c:pt idx="23">
                  <c:v>0.56518827805685401</c:v>
                </c:pt>
                <c:pt idx="24">
                  <c:v>0.58879040360579293</c:v>
                </c:pt>
                <c:pt idx="25">
                  <c:v>0.68732230554106988</c:v>
                </c:pt>
                <c:pt idx="26">
                  <c:v>0.65392017440953609</c:v>
                </c:pt>
                <c:pt idx="27">
                  <c:v>0.71622736112658014</c:v>
                </c:pt>
                <c:pt idx="28">
                  <c:v>0.68662437571857526</c:v>
                </c:pt>
                <c:pt idx="29">
                  <c:v>0.69942799564170355</c:v>
                </c:pt>
                <c:pt idx="30">
                  <c:v>0.68861054335099137</c:v>
                </c:pt>
                <c:pt idx="31">
                  <c:v>0.67680338974387289</c:v>
                </c:pt>
                <c:pt idx="32">
                  <c:v>0.80466245097710365</c:v>
                </c:pt>
                <c:pt idx="33">
                  <c:v>0.83278575348841344</c:v>
                </c:pt>
                <c:pt idx="34">
                  <c:v>0.85869823894550534</c:v>
                </c:pt>
                <c:pt idx="35">
                  <c:v>0.88423876124656564</c:v>
                </c:pt>
                <c:pt idx="36">
                  <c:v>0.90866296948951752</c:v>
                </c:pt>
                <c:pt idx="37">
                  <c:v>0.9315948521022559</c:v>
                </c:pt>
                <c:pt idx="38">
                  <c:v>0.9545132387771742</c:v>
                </c:pt>
                <c:pt idx="39">
                  <c:v>0.97738494335908221</c:v>
                </c:pt>
                <c:pt idx="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3-4FEE-A0A4-CDA5BED4591C}"/>
            </c:ext>
          </c:extLst>
        </c:ser>
        <c:ser>
          <c:idx val="3"/>
          <c:order val="3"/>
          <c:tx>
            <c:strRef>
              <c:f>Sheet2!$B$71</c:f>
              <c:strCache>
                <c:ptCount val="1"/>
                <c:pt idx="0">
                  <c:v>Baseline SSP1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Sheet2!$C$67:$BT$67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Sheet2!$C$71:$BT$71</c:f>
              <c:numCache>
                <c:formatCode>General</c:formatCode>
                <c:ptCount val="70"/>
                <c:pt idx="0">
                  <c:v>0.14115268348786097</c:v>
                </c:pt>
                <c:pt idx="1">
                  <c:v>0.15827031028038271</c:v>
                </c:pt>
                <c:pt idx="2">
                  <c:v>0.16214782947839254</c:v>
                </c:pt>
                <c:pt idx="3">
                  <c:v>0.17190650551889677</c:v>
                </c:pt>
                <c:pt idx="4">
                  <c:v>0.17546178758671518</c:v>
                </c:pt>
                <c:pt idx="5">
                  <c:v>0.18618534302971573</c:v>
                </c:pt>
                <c:pt idx="6">
                  <c:v>0.18058373975907796</c:v>
                </c:pt>
                <c:pt idx="7">
                  <c:v>0.19610792424709864</c:v>
                </c:pt>
                <c:pt idx="8">
                  <c:v>0.20171048785591783</c:v>
                </c:pt>
                <c:pt idx="9">
                  <c:v>0.21513153028213439</c:v>
                </c:pt>
                <c:pt idx="10">
                  <c:v>0.2361118297414945</c:v>
                </c:pt>
                <c:pt idx="11">
                  <c:v>0.33457516275394789</c:v>
                </c:pt>
                <c:pt idx="12">
                  <c:v>0.34217095141129561</c:v>
                </c:pt>
                <c:pt idx="13">
                  <c:v>0.3867586938745553</c:v>
                </c:pt>
                <c:pt idx="14">
                  <c:v>0.3885127175792068</c:v>
                </c:pt>
                <c:pt idx="15">
                  <c:v>0.41493527600464092</c:v>
                </c:pt>
                <c:pt idx="16">
                  <c:v>0.41290108711327633</c:v>
                </c:pt>
                <c:pt idx="17">
                  <c:v>0.45460774712995239</c:v>
                </c:pt>
                <c:pt idx="18">
                  <c:v>0.46684384504750753</c:v>
                </c:pt>
                <c:pt idx="19">
                  <c:v>0.49828437855224972</c:v>
                </c:pt>
                <c:pt idx="20">
                  <c:v>0.5091262689278675</c:v>
                </c:pt>
                <c:pt idx="21">
                  <c:v>0.52037028479351866</c:v>
                </c:pt>
                <c:pt idx="22">
                  <c:v>0.52770090372535339</c:v>
                </c:pt>
                <c:pt idx="23">
                  <c:v>0.62304778097389735</c:v>
                </c:pt>
                <c:pt idx="24">
                  <c:v>0.65007909120030971</c:v>
                </c:pt>
                <c:pt idx="25">
                  <c:v>0.76409836928340391</c:v>
                </c:pt>
                <c:pt idx="26">
                  <c:v>0.72769217917696749</c:v>
                </c:pt>
                <c:pt idx="27">
                  <c:v>0.80359828828503577</c:v>
                </c:pt>
                <c:pt idx="28">
                  <c:v>0.77574574563026388</c:v>
                </c:pt>
                <c:pt idx="29">
                  <c:v>0.79801021472974176</c:v>
                </c:pt>
                <c:pt idx="30">
                  <c:v>0.79491036248655633</c:v>
                </c:pt>
                <c:pt idx="31">
                  <c:v>0.71956947820233119</c:v>
                </c:pt>
                <c:pt idx="32">
                  <c:v>0.80305436653916396</c:v>
                </c:pt>
                <c:pt idx="33">
                  <c:v>0.82950070297133904</c:v>
                </c:pt>
                <c:pt idx="34">
                  <c:v>0.85518126305877074</c:v>
                </c:pt>
                <c:pt idx="35">
                  <c:v>0.88083757816055419</c:v>
                </c:pt>
                <c:pt idx="36">
                  <c:v>0.90554826779720776</c:v>
                </c:pt>
                <c:pt idx="37">
                  <c:v>0.92894498128846625</c:v>
                </c:pt>
                <c:pt idx="38">
                  <c:v>0.95263392348961973</c:v>
                </c:pt>
                <c:pt idx="39">
                  <c:v>0.9764380327677511</c:v>
                </c:pt>
                <c:pt idx="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23-4FEE-A0A4-CDA5BED4591C}"/>
            </c:ext>
          </c:extLst>
        </c:ser>
        <c:ser>
          <c:idx val="4"/>
          <c:order val="4"/>
          <c:tx>
            <c:strRef>
              <c:f>Sheet2!$B$72</c:f>
              <c:strCache>
                <c:ptCount val="1"/>
                <c:pt idx="0">
                  <c:v>RCP2.6 SSP2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Sheet2!$C$67:$BT$67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Sheet2!$C$72:$BT$72</c:f>
              <c:numCache>
                <c:formatCode>General</c:formatCode>
                <c:ptCount val="70"/>
                <c:pt idx="0">
                  <c:v>0.14707710259354001</c:v>
                </c:pt>
                <c:pt idx="1">
                  <c:v>0.17859396004991271</c:v>
                </c:pt>
                <c:pt idx="2">
                  <c:v>0.20071537095507927</c:v>
                </c:pt>
                <c:pt idx="3">
                  <c:v>0.22865929980916586</c:v>
                </c:pt>
                <c:pt idx="4">
                  <c:v>0.25120269625110647</c:v>
                </c:pt>
                <c:pt idx="5">
                  <c:v>0.28230582752500127</c:v>
                </c:pt>
                <c:pt idx="6">
                  <c:v>0.29316755853478998</c:v>
                </c:pt>
                <c:pt idx="7">
                  <c:v>0.32294848048730329</c:v>
                </c:pt>
                <c:pt idx="8">
                  <c:v>0.33959091079264908</c:v>
                </c:pt>
                <c:pt idx="9">
                  <c:v>0.36888175383940253</c:v>
                </c:pt>
                <c:pt idx="10">
                  <c:v>0.41259373246008041</c:v>
                </c:pt>
                <c:pt idx="11">
                  <c:v>0.46137140864866943</c:v>
                </c:pt>
                <c:pt idx="12">
                  <c:v>0.49222339956231925</c:v>
                </c:pt>
                <c:pt idx="13">
                  <c:v>0.58244039312706275</c:v>
                </c:pt>
                <c:pt idx="14">
                  <c:v>0.59984207271856282</c:v>
                </c:pt>
                <c:pt idx="15">
                  <c:v>0.6518779442344419</c:v>
                </c:pt>
                <c:pt idx="16">
                  <c:v>0.65457517287356282</c:v>
                </c:pt>
                <c:pt idx="17">
                  <c:v>0.74846163620978778</c:v>
                </c:pt>
                <c:pt idx="18">
                  <c:v>0.79733580584312735</c:v>
                </c:pt>
                <c:pt idx="19">
                  <c:v>0.87671724905197512</c:v>
                </c:pt>
                <c:pt idx="20">
                  <c:v>0.91822583033642902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23-4FEE-A0A4-CDA5BED4591C}"/>
            </c:ext>
          </c:extLst>
        </c:ser>
        <c:ser>
          <c:idx val="5"/>
          <c:order val="5"/>
          <c:tx>
            <c:strRef>
              <c:f>Sheet2!$B$73</c:f>
              <c:strCache>
                <c:ptCount val="1"/>
                <c:pt idx="0">
                  <c:v>RCP2.6 SSP1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Sheet2!$C$67:$BT$67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Sheet2!$C$73:$BT$73</c:f>
              <c:numCache>
                <c:formatCode>General</c:formatCode>
                <c:ptCount val="70"/>
                <c:pt idx="0">
                  <c:v>0.1758214435644625</c:v>
                </c:pt>
                <c:pt idx="1">
                  <c:v>0.21096392299928299</c:v>
                </c:pt>
                <c:pt idx="2">
                  <c:v>0.23384158674156505</c:v>
                </c:pt>
                <c:pt idx="3">
                  <c:v>0.26319869920330946</c:v>
                </c:pt>
                <c:pt idx="4">
                  <c:v>0.2854040824615911</c:v>
                </c:pt>
                <c:pt idx="5">
                  <c:v>0.3170699949226532</c:v>
                </c:pt>
                <c:pt idx="6">
                  <c:v>0.32412098569862519</c:v>
                </c:pt>
                <c:pt idx="7">
                  <c:v>0.35286698530983207</c:v>
                </c:pt>
                <c:pt idx="8">
                  <c:v>0.36570333741487659</c:v>
                </c:pt>
                <c:pt idx="9">
                  <c:v>0.39252985157428882</c:v>
                </c:pt>
                <c:pt idx="10">
                  <c:v>0.43500109481714289</c:v>
                </c:pt>
                <c:pt idx="11">
                  <c:v>0.47960621765477884</c:v>
                </c:pt>
                <c:pt idx="12">
                  <c:v>0.50593622464528254</c:v>
                </c:pt>
                <c:pt idx="13">
                  <c:v>0.59739253864844</c:v>
                </c:pt>
                <c:pt idx="14">
                  <c:v>0.60820287460485523</c:v>
                </c:pt>
                <c:pt idx="15">
                  <c:v>0.65732540706257359</c:v>
                </c:pt>
                <c:pt idx="16">
                  <c:v>0.65366992992074402</c:v>
                </c:pt>
                <c:pt idx="17">
                  <c:v>0.74841368476714587</c:v>
                </c:pt>
                <c:pt idx="18">
                  <c:v>0.79519075008800233</c:v>
                </c:pt>
                <c:pt idx="19">
                  <c:v>0.87504311879625551</c:v>
                </c:pt>
                <c:pt idx="20">
                  <c:v>0.91585344196965357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23-4FEE-A0A4-CDA5BED45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698896"/>
        <c:axId val="816694304"/>
      </c:lineChart>
      <c:catAx>
        <c:axId val="81669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94304"/>
        <c:crosses val="autoZero"/>
        <c:auto val="1"/>
        <c:lblAlgn val="ctr"/>
        <c:lblOffset val="100"/>
        <c:noMultiLvlLbl val="0"/>
      </c:catAx>
      <c:valAx>
        <c:axId val="81669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9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266700</xdr:colOff>
      <xdr:row>1</xdr:row>
      <xdr:rowOff>171450</xdr:rowOff>
    </xdr:from>
    <xdr:to>
      <xdr:col>26</xdr:col>
      <xdr:colOff>37214</xdr:colOff>
      <xdr:row>22</xdr:row>
      <xdr:rowOff>66188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1100" y="361950"/>
          <a:ext cx="7085714" cy="3895238"/>
        </a:xfrm>
        <a:prstGeom prst="rect">
          <a:avLst/>
        </a:prstGeom>
      </xdr:spPr>
    </xdr:pic>
    <xdr:clientData/>
  </xdr:twoCellAnchor>
  <xdr:twoCellAnchor editAs="oneCell">
    <xdr:from>
      <xdr:col>14</xdr:col>
      <xdr:colOff>215900</xdr:colOff>
      <xdr:row>20</xdr:row>
      <xdr:rowOff>19050</xdr:rowOff>
    </xdr:from>
    <xdr:to>
      <xdr:col>29</xdr:col>
      <xdr:colOff>52852</xdr:colOff>
      <xdr:row>38</xdr:row>
      <xdr:rowOff>161493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0300" y="3702050"/>
          <a:ext cx="8980952" cy="34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196850</xdr:colOff>
      <xdr:row>39</xdr:row>
      <xdr:rowOff>0</xdr:rowOff>
    </xdr:from>
    <xdr:to>
      <xdr:col>17</xdr:col>
      <xdr:colOff>101383</xdr:colOff>
      <xdr:row>62</xdr:row>
      <xdr:rowOff>21693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1250" y="7181850"/>
          <a:ext cx="1733333" cy="42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0</xdr:rowOff>
    </xdr:from>
    <xdr:to>
      <xdr:col>28</xdr:col>
      <xdr:colOff>570514</xdr:colOff>
      <xdr:row>12</xdr:row>
      <xdr:rowOff>66381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0"/>
          <a:ext cx="7885714" cy="2352381"/>
        </a:xfrm>
        <a:prstGeom prst="rect">
          <a:avLst/>
        </a:prstGeom>
      </xdr:spPr>
    </xdr:pic>
    <xdr:clientData/>
  </xdr:twoCellAnchor>
  <xdr:twoCellAnchor editAs="oneCell">
    <xdr:from>
      <xdr:col>16</xdr:col>
      <xdr:colOff>9281</xdr:colOff>
      <xdr:row>12</xdr:row>
      <xdr:rowOff>72048</xdr:rowOff>
    </xdr:from>
    <xdr:to>
      <xdr:col>27</xdr:col>
      <xdr:colOff>122729</xdr:colOff>
      <xdr:row>30</xdr:row>
      <xdr:rowOff>166857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8512" y="2299433"/>
          <a:ext cx="6829794" cy="3435886"/>
        </a:xfrm>
        <a:prstGeom prst="rect">
          <a:avLst/>
        </a:prstGeom>
      </xdr:spPr>
    </xdr:pic>
    <xdr:clientData/>
  </xdr:twoCellAnchor>
  <xdr:twoCellAnchor editAs="oneCell">
    <xdr:from>
      <xdr:col>29</xdr:col>
      <xdr:colOff>104775</xdr:colOff>
      <xdr:row>0</xdr:row>
      <xdr:rowOff>0</xdr:rowOff>
    </xdr:from>
    <xdr:to>
      <xdr:col>41</xdr:col>
      <xdr:colOff>237194</xdr:colOff>
      <xdr:row>28</xdr:row>
      <xdr:rowOff>164436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83175" y="0"/>
          <a:ext cx="7447619" cy="5498436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33</xdr:row>
      <xdr:rowOff>105562</xdr:rowOff>
    </xdr:from>
    <xdr:to>
      <xdr:col>27</xdr:col>
      <xdr:colOff>590550</xdr:colOff>
      <xdr:row>35</xdr:row>
      <xdr:rowOff>3319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77400" y="6182512"/>
          <a:ext cx="7372350" cy="266057"/>
        </a:xfrm>
        <a:prstGeom prst="rect">
          <a:avLst/>
        </a:prstGeom>
      </xdr:spPr>
    </xdr:pic>
    <xdr:clientData/>
  </xdr:twoCellAnchor>
  <xdr:twoCellAnchor editAs="oneCell">
    <xdr:from>
      <xdr:col>15</xdr:col>
      <xdr:colOff>527050</xdr:colOff>
      <xdr:row>34</xdr:row>
      <xdr:rowOff>177800</xdr:rowOff>
    </xdr:from>
    <xdr:to>
      <xdr:col>27</xdr:col>
      <xdr:colOff>584283</xdr:colOff>
      <xdr:row>46</xdr:row>
      <xdr:rowOff>177800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1050" y="6438900"/>
          <a:ext cx="7372433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22225</xdr:colOff>
      <xdr:row>23</xdr:row>
      <xdr:rowOff>55283</xdr:rowOff>
    </xdr:from>
    <xdr:to>
      <xdr:col>35</xdr:col>
      <xdr:colOff>580837</xdr:colOff>
      <xdr:row>48</xdr:row>
      <xdr:rowOff>1869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387350</xdr:colOff>
      <xdr:row>49</xdr:row>
      <xdr:rowOff>120650</xdr:rowOff>
    </xdr:from>
    <xdr:to>
      <xdr:col>9</xdr:col>
      <xdr:colOff>164493</xdr:colOff>
      <xdr:row>68</xdr:row>
      <xdr:rowOff>31324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6550" y="9156700"/>
          <a:ext cx="4857143" cy="34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205440</xdr:colOff>
      <xdr:row>33</xdr:row>
      <xdr:rowOff>2987</xdr:rowOff>
    </xdr:from>
    <xdr:to>
      <xdr:col>20</xdr:col>
      <xdr:colOff>537881</xdr:colOff>
      <xdr:row>61</xdr:row>
      <xdr:rowOff>156882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47625</xdr:colOff>
      <xdr:row>84</xdr:row>
      <xdr:rowOff>131232</xdr:rowOff>
    </xdr:from>
    <xdr:to>
      <xdr:col>84</xdr:col>
      <xdr:colOff>74083</xdr:colOff>
      <xdr:row>114</xdr:row>
      <xdr:rowOff>148165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fingfx.thomsonreuters.com/gfx/editorcharts/AUTOS-BATTERIES-SOUTHKOREA/0H001QXL09JY/index.html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mckinsey.com/~/media/McKinsey/Industries/Automotive%20and%20Assembly/Our%20Insights/Improving%20battery%20electric%20vehicle%20profitability%20through%20reduced%20structural%20costs/Improving-battery-electric-vehicle-profitability-Final.pdf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https://www.diva-portal.org/smash/get/diva2:1254196/FULLTEXT01.pdf" TargetMode="External"/><Relationship Id="rId1" Type="http://schemas.openxmlformats.org/officeDocument/2006/relationships/hyperlink" Target="https://www.sciencedirect.com/science/article/abs/pii/S0306261916312740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cstep.in/drupal/sites/default/files/2019-01/CSTEP_RR_LiB_Indigenisation_July2018.pdf" TargetMode="External"/><Relationship Id="rId4" Type="http://schemas.openxmlformats.org/officeDocument/2006/relationships/hyperlink" Target="../../../../Downloads/lbnl-2001314.pdf" TargetMode="External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V53"/>
  <sheetViews>
    <sheetView zoomScale="85" zoomScaleNormal="85" workbookViewId="0">
      <selection activeCell="AL13" sqref="AL13"/>
    </sheetView>
  </sheetViews>
  <sheetFormatPr defaultRowHeight="15" x14ac:dyDescent="0.25"/>
  <sheetData>
    <row r="2" spans="1:9" x14ac:dyDescent="0.25">
      <c r="B2" t="s">
        <v>0</v>
      </c>
      <c r="C2">
        <v>2015</v>
      </c>
      <c r="D2">
        <v>2020</v>
      </c>
      <c r="E2">
        <v>2025</v>
      </c>
      <c r="F2">
        <v>2030</v>
      </c>
      <c r="G2">
        <v>2040</v>
      </c>
      <c r="H2">
        <v>2050</v>
      </c>
      <c r="I2">
        <v>2060</v>
      </c>
    </row>
    <row r="3" spans="1:9" x14ac:dyDescent="0.25">
      <c r="B3" t="s">
        <v>1</v>
      </c>
      <c r="C3" s="3">
        <v>0.5</v>
      </c>
      <c r="D3" s="3">
        <v>0.19800000000000001</v>
      </c>
      <c r="E3" s="3">
        <v>4.9000000000000002E-2</v>
      </c>
      <c r="F3" s="3">
        <v>2.1999999999999999E-2</v>
      </c>
      <c r="G3" s="3">
        <v>0.01</v>
      </c>
      <c r="H3" s="3">
        <f>G3</f>
        <v>0.01</v>
      </c>
      <c r="I3" s="4">
        <f>H3</f>
        <v>0.01</v>
      </c>
    </row>
    <row r="4" spans="1:9" x14ac:dyDescent="0.25">
      <c r="B4" t="s">
        <v>2</v>
      </c>
      <c r="C4" s="3">
        <v>0.1</v>
      </c>
      <c r="D4" s="3">
        <v>0.115</v>
      </c>
      <c r="E4" s="3">
        <v>0.08</v>
      </c>
      <c r="F4" s="3">
        <v>2.5000000000000001E-2</v>
      </c>
      <c r="G4" s="3">
        <v>0.02</v>
      </c>
      <c r="H4" s="3">
        <f t="shared" ref="H4:H9" si="0">G4</f>
        <v>0.02</v>
      </c>
      <c r="I4" s="4">
        <f t="shared" ref="I4:I9" si="1">H4</f>
        <v>0.02</v>
      </c>
    </row>
    <row r="5" spans="1:9" x14ac:dyDescent="0.25">
      <c r="A5" s="2" t="s">
        <v>3</v>
      </c>
      <c r="B5" t="s">
        <v>4</v>
      </c>
      <c r="C5" s="3">
        <v>0.03</v>
      </c>
      <c r="D5" s="3">
        <v>0.33</v>
      </c>
      <c r="E5" s="3">
        <v>0.20399999999999999</v>
      </c>
      <c r="F5" s="3">
        <v>0.16</v>
      </c>
      <c r="G5" s="3">
        <v>0.17</v>
      </c>
      <c r="H5" s="3">
        <f t="shared" si="0"/>
        <v>0.17</v>
      </c>
      <c r="I5" s="4">
        <f t="shared" si="1"/>
        <v>0.17</v>
      </c>
    </row>
    <row r="6" spans="1:9" x14ac:dyDescent="0.25">
      <c r="B6" t="s">
        <v>5</v>
      </c>
      <c r="C6" s="3">
        <v>0.02</v>
      </c>
      <c r="D6" s="3">
        <v>0.09</v>
      </c>
      <c r="E6" s="3">
        <v>0.23</v>
      </c>
      <c r="F6" s="3">
        <v>0.16</v>
      </c>
      <c r="G6" s="3">
        <v>0.16</v>
      </c>
      <c r="H6" s="3">
        <f t="shared" si="0"/>
        <v>0.16</v>
      </c>
      <c r="I6" s="4">
        <f t="shared" si="1"/>
        <v>0.16</v>
      </c>
    </row>
    <row r="7" spans="1:9" x14ac:dyDescent="0.25">
      <c r="B7" t="s">
        <v>6</v>
      </c>
      <c r="C7" s="3">
        <v>0</v>
      </c>
      <c r="D7" s="3">
        <v>0.02</v>
      </c>
      <c r="E7" s="3">
        <v>0.24</v>
      </c>
      <c r="F7" s="3">
        <v>0.46200000000000002</v>
      </c>
      <c r="G7" s="3">
        <v>0.5</v>
      </c>
      <c r="H7" s="3">
        <f t="shared" si="0"/>
        <v>0.5</v>
      </c>
      <c r="I7" s="4">
        <f t="shared" si="1"/>
        <v>0.5</v>
      </c>
    </row>
    <row r="8" spans="1:9" x14ac:dyDescent="0.25">
      <c r="B8" t="s">
        <v>8</v>
      </c>
      <c r="C8" s="3">
        <v>0.27</v>
      </c>
      <c r="D8" s="3">
        <v>0.21</v>
      </c>
      <c r="E8" s="3">
        <v>0.17</v>
      </c>
      <c r="F8" s="3">
        <v>0.14000000000000001</v>
      </c>
      <c r="G8" s="3">
        <v>0.12</v>
      </c>
      <c r="H8" s="3">
        <f t="shared" si="0"/>
        <v>0.12</v>
      </c>
      <c r="I8" s="4">
        <f t="shared" si="1"/>
        <v>0.12</v>
      </c>
    </row>
    <row r="9" spans="1:9" x14ac:dyDescent="0.25">
      <c r="B9" t="s">
        <v>9</v>
      </c>
      <c r="C9" s="3">
        <v>0.03</v>
      </c>
      <c r="D9" s="3">
        <v>1.7000000000000001E-2</v>
      </c>
      <c r="E9" s="3">
        <v>7.0000000000000001E-3</v>
      </c>
      <c r="F9" s="3">
        <v>6.0000000000000001E-3</v>
      </c>
      <c r="G9" s="3">
        <v>0</v>
      </c>
      <c r="H9" s="3">
        <f t="shared" si="0"/>
        <v>0</v>
      </c>
      <c r="I9" s="4">
        <f t="shared" si="1"/>
        <v>0</v>
      </c>
    </row>
    <row r="11" spans="1:9" x14ac:dyDescent="0.25">
      <c r="B11" s="1" t="s">
        <v>10</v>
      </c>
      <c r="C11">
        <f t="shared" ref="C11:I11" si="2">SUM(C3:C9)</f>
        <v>0.95000000000000007</v>
      </c>
      <c r="D11">
        <f t="shared" si="2"/>
        <v>0.98</v>
      </c>
      <c r="E11">
        <f t="shared" si="2"/>
        <v>0.98</v>
      </c>
      <c r="F11">
        <f t="shared" si="2"/>
        <v>0.97499999999999998</v>
      </c>
      <c r="G11">
        <f t="shared" si="2"/>
        <v>0.98</v>
      </c>
      <c r="H11">
        <f t="shared" si="2"/>
        <v>0.98</v>
      </c>
      <c r="I11" s="4">
        <f t="shared" si="2"/>
        <v>0.98</v>
      </c>
    </row>
    <row r="25" spans="2:48" x14ac:dyDescent="0.25">
      <c r="B25" t="s">
        <v>0</v>
      </c>
      <c r="C25">
        <v>2015</v>
      </c>
      <c r="D25">
        <f>C25+1</f>
        <v>2016</v>
      </c>
      <c r="E25">
        <f>D25+1</f>
        <v>2017</v>
      </c>
      <c r="F25">
        <f>E25+1</f>
        <v>2018</v>
      </c>
      <c r="G25">
        <f>F25+1</f>
        <v>2019</v>
      </c>
      <c r="H25">
        <v>2020</v>
      </c>
      <c r="I25">
        <f t="shared" ref="I25:Q25" si="3">H25+1</f>
        <v>2021</v>
      </c>
      <c r="J25">
        <f t="shared" si="3"/>
        <v>2022</v>
      </c>
      <c r="K25">
        <f t="shared" si="3"/>
        <v>2023</v>
      </c>
      <c r="L25">
        <f t="shared" si="3"/>
        <v>2024</v>
      </c>
      <c r="M25">
        <f t="shared" si="3"/>
        <v>2025</v>
      </c>
      <c r="N25">
        <f t="shared" si="3"/>
        <v>2026</v>
      </c>
      <c r="O25">
        <f t="shared" si="3"/>
        <v>2027</v>
      </c>
      <c r="P25">
        <f t="shared" si="3"/>
        <v>2028</v>
      </c>
      <c r="Q25">
        <f t="shared" si="3"/>
        <v>2029</v>
      </c>
      <c r="R25">
        <v>2030</v>
      </c>
      <c r="S25">
        <f>R25+1</f>
        <v>2031</v>
      </c>
      <c r="T25">
        <f t="shared" ref="T25:AA25" si="4">S25+1</f>
        <v>2032</v>
      </c>
      <c r="U25">
        <f t="shared" si="4"/>
        <v>2033</v>
      </c>
      <c r="V25">
        <f t="shared" si="4"/>
        <v>2034</v>
      </c>
      <c r="W25">
        <f t="shared" si="4"/>
        <v>2035</v>
      </c>
      <c r="X25">
        <f t="shared" si="4"/>
        <v>2036</v>
      </c>
      <c r="Y25">
        <f t="shared" si="4"/>
        <v>2037</v>
      </c>
      <c r="Z25">
        <f t="shared" si="4"/>
        <v>2038</v>
      </c>
      <c r="AA25">
        <f t="shared" si="4"/>
        <v>2039</v>
      </c>
      <c r="AB25">
        <v>2040</v>
      </c>
      <c r="AC25">
        <f>AB25+1</f>
        <v>2041</v>
      </c>
      <c r="AD25">
        <f t="shared" ref="AD25:AK25" si="5">AC25+1</f>
        <v>2042</v>
      </c>
      <c r="AE25">
        <f t="shared" si="5"/>
        <v>2043</v>
      </c>
      <c r="AF25">
        <f t="shared" si="5"/>
        <v>2044</v>
      </c>
      <c r="AG25">
        <f t="shared" si="5"/>
        <v>2045</v>
      </c>
      <c r="AH25">
        <f t="shared" si="5"/>
        <v>2046</v>
      </c>
      <c r="AI25">
        <f t="shared" si="5"/>
        <v>2047</v>
      </c>
      <c r="AJ25">
        <f t="shared" si="5"/>
        <v>2048</v>
      </c>
      <c r="AK25">
        <f t="shared" si="5"/>
        <v>2049</v>
      </c>
      <c r="AL25">
        <v>2050</v>
      </c>
      <c r="AM25">
        <f>AL25+1</f>
        <v>2051</v>
      </c>
      <c r="AN25">
        <f t="shared" ref="AN25:AU25" si="6">AM25+1</f>
        <v>2052</v>
      </c>
      <c r="AO25">
        <f t="shared" si="6"/>
        <v>2053</v>
      </c>
      <c r="AP25">
        <f t="shared" si="6"/>
        <v>2054</v>
      </c>
      <c r="AQ25">
        <f t="shared" si="6"/>
        <v>2055</v>
      </c>
      <c r="AR25">
        <f t="shared" si="6"/>
        <v>2056</v>
      </c>
      <c r="AS25">
        <f t="shared" si="6"/>
        <v>2057</v>
      </c>
      <c r="AT25">
        <f t="shared" si="6"/>
        <v>2058</v>
      </c>
      <c r="AU25">
        <f t="shared" si="6"/>
        <v>2059</v>
      </c>
      <c r="AV25">
        <v>2060</v>
      </c>
    </row>
    <row r="26" spans="2:48" x14ac:dyDescent="0.25">
      <c r="B26" t="s">
        <v>2</v>
      </c>
      <c r="C26" s="3">
        <v>0.15</v>
      </c>
      <c r="H26" s="3">
        <v>0.15</v>
      </c>
      <c r="M26" s="3"/>
      <c r="R26" s="3">
        <v>0.13</v>
      </c>
      <c r="AB26" s="3">
        <v>7.0000000000000007E-2</v>
      </c>
      <c r="AL26" s="3">
        <f>AB26</f>
        <v>7.0000000000000007E-2</v>
      </c>
      <c r="AV26" s="4">
        <f t="shared" ref="AV26:AV33" si="7">AL26</f>
        <v>7.0000000000000007E-2</v>
      </c>
    </row>
    <row r="27" spans="2:48" x14ac:dyDescent="0.25">
      <c r="B27" t="s">
        <v>151</v>
      </c>
      <c r="C27" s="3">
        <v>0.3</v>
      </c>
      <c r="H27" s="3">
        <v>0.12</v>
      </c>
      <c r="M27" s="3"/>
      <c r="R27" s="3">
        <v>0.02</v>
      </c>
      <c r="AB27" s="3">
        <v>0</v>
      </c>
      <c r="AL27" s="3">
        <f>AB27</f>
        <v>0</v>
      </c>
      <c r="AV27" s="4">
        <f t="shared" si="7"/>
        <v>0</v>
      </c>
    </row>
    <row r="28" spans="2:48" x14ac:dyDescent="0.25">
      <c r="B28" t="s">
        <v>5</v>
      </c>
      <c r="C28" s="3">
        <v>0.1</v>
      </c>
      <c r="H28" s="3">
        <v>0.23</v>
      </c>
      <c r="M28" s="3"/>
      <c r="R28" s="3">
        <v>0.27</v>
      </c>
      <c r="AB28" s="3">
        <v>0.16</v>
      </c>
      <c r="AL28" s="3">
        <f>AB28</f>
        <v>0.16</v>
      </c>
      <c r="AV28" s="4">
        <f t="shared" si="7"/>
        <v>0.16</v>
      </c>
    </row>
    <row r="29" spans="2:48" x14ac:dyDescent="0.25">
      <c r="B29" t="s">
        <v>137</v>
      </c>
      <c r="C29" s="3">
        <v>0</v>
      </c>
      <c r="H29" s="3">
        <v>0.1</v>
      </c>
      <c r="M29" s="3"/>
      <c r="R29" s="3">
        <v>0.27</v>
      </c>
      <c r="AB29" s="3">
        <v>0.45</v>
      </c>
      <c r="AL29" s="3">
        <v>0.3</v>
      </c>
      <c r="AV29" s="4">
        <f t="shared" si="7"/>
        <v>0.3</v>
      </c>
    </row>
    <row r="30" spans="2:48" x14ac:dyDescent="0.25">
      <c r="B30" t="s">
        <v>8</v>
      </c>
      <c r="C30" s="3">
        <v>0.21</v>
      </c>
      <c r="H30" s="3">
        <v>0.2</v>
      </c>
      <c r="M30" s="3"/>
      <c r="R30" s="3">
        <v>0.1</v>
      </c>
      <c r="AB30" s="3">
        <v>7.0000000000000007E-2</v>
      </c>
      <c r="AL30" s="3">
        <v>7.0000000000000007E-2</v>
      </c>
      <c r="AV30" s="4">
        <f t="shared" si="7"/>
        <v>7.0000000000000007E-2</v>
      </c>
    </row>
    <row r="31" spans="2:48" x14ac:dyDescent="0.25">
      <c r="B31" t="s">
        <v>164</v>
      </c>
      <c r="C31" s="3">
        <v>0.24</v>
      </c>
      <c r="H31" s="3">
        <v>0.2</v>
      </c>
      <c r="M31" s="3"/>
      <c r="R31" s="3">
        <v>0</v>
      </c>
      <c r="AB31" s="3">
        <v>0</v>
      </c>
      <c r="AL31" s="3">
        <v>0</v>
      </c>
      <c r="AV31" s="4">
        <f t="shared" si="7"/>
        <v>0</v>
      </c>
    </row>
    <row r="32" spans="2:48" x14ac:dyDescent="0.25">
      <c r="B32" t="s">
        <v>168</v>
      </c>
      <c r="C32" s="3">
        <v>0</v>
      </c>
      <c r="H32" s="3">
        <v>0</v>
      </c>
      <c r="M32" s="3"/>
      <c r="R32" s="3">
        <v>0.21</v>
      </c>
      <c r="AB32" s="3">
        <v>0.25</v>
      </c>
      <c r="AL32" s="21">
        <v>0.4</v>
      </c>
      <c r="AV32" s="4">
        <f t="shared" si="7"/>
        <v>0.4</v>
      </c>
    </row>
    <row r="33" spans="2:48" x14ac:dyDescent="0.25">
      <c r="B33" t="s">
        <v>156</v>
      </c>
      <c r="C33" s="3">
        <v>0</v>
      </c>
      <c r="H33" s="3">
        <v>0</v>
      </c>
      <c r="M33" s="3"/>
      <c r="R33" s="3">
        <v>0</v>
      </c>
      <c r="AB33" s="3">
        <v>0</v>
      </c>
      <c r="AL33" s="21">
        <v>0</v>
      </c>
      <c r="AV33" s="4">
        <f t="shared" si="7"/>
        <v>0</v>
      </c>
    </row>
    <row r="34" spans="2:48" x14ac:dyDescent="0.25">
      <c r="C34" s="4">
        <f>SUM(C26:C32)</f>
        <v>0.99999999999999989</v>
      </c>
      <c r="D34" s="4">
        <f t="shared" ref="D34:AU34" si="8">SUM(D26:D32)</f>
        <v>0</v>
      </c>
      <c r="E34" s="4">
        <f t="shared" si="8"/>
        <v>0</v>
      </c>
      <c r="F34" s="4">
        <f t="shared" si="8"/>
        <v>0</v>
      </c>
      <c r="G34" s="4">
        <f t="shared" si="8"/>
        <v>0</v>
      </c>
      <c r="H34" s="4">
        <f t="shared" si="8"/>
        <v>1</v>
      </c>
      <c r="I34" s="4">
        <f t="shared" si="8"/>
        <v>0</v>
      </c>
      <c r="J34" s="4">
        <f t="shared" si="8"/>
        <v>0</v>
      </c>
      <c r="K34" s="4">
        <f t="shared" si="8"/>
        <v>0</v>
      </c>
      <c r="L34" s="4">
        <f t="shared" si="8"/>
        <v>0</v>
      </c>
      <c r="M34" s="4">
        <f t="shared" si="8"/>
        <v>0</v>
      </c>
      <c r="N34" s="4">
        <f t="shared" si="8"/>
        <v>0</v>
      </c>
      <c r="O34" s="4">
        <f t="shared" si="8"/>
        <v>0</v>
      </c>
      <c r="P34" s="4">
        <f t="shared" si="8"/>
        <v>0</v>
      </c>
      <c r="Q34" s="4">
        <f t="shared" si="8"/>
        <v>0</v>
      </c>
      <c r="R34" s="4">
        <f t="shared" si="8"/>
        <v>1</v>
      </c>
      <c r="S34" s="4">
        <f t="shared" si="8"/>
        <v>0</v>
      </c>
      <c r="T34" s="4">
        <f t="shared" si="8"/>
        <v>0</v>
      </c>
      <c r="U34" s="4">
        <f t="shared" si="8"/>
        <v>0</v>
      </c>
      <c r="V34" s="4">
        <f t="shared" si="8"/>
        <v>0</v>
      </c>
      <c r="W34" s="4">
        <f t="shared" si="8"/>
        <v>0</v>
      </c>
      <c r="X34" s="4">
        <f t="shared" si="8"/>
        <v>0</v>
      </c>
      <c r="Y34" s="4">
        <f t="shared" si="8"/>
        <v>0</v>
      </c>
      <c r="Z34" s="4">
        <f t="shared" si="8"/>
        <v>0</v>
      </c>
      <c r="AA34" s="4">
        <f t="shared" si="8"/>
        <v>0</v>
      </c>
      <c r="AB34" s="4">
        <f t="shared" si="8"/>
        <v>1</v>
      </c>
      <c r="AC34" s="4">
        <f t="shared" si="8"/>
        <v>0</v>
      </c>
      <c r="AD34" s="4">
        <f t="shared" si="8"/>
        <v>0</v>
      </c>
      <c r="AE34" s="4">
        <f t="shared" si="8"/>
        <v>0</v>
      </c>
      <c r="AF34" s="4">
        <f t="shared" si="8"/>
        <v>0</v>
      </c>
      <c r="AG34" s="4">
        <f t="shared" si="8"/>
        <v>0</v>
      </c>
      <c r="AH34" s="4">
        <f t="shared" si="8"/>
        <v>0</v>
      </c>
      <c r="AI34" s="4">
        <f t="shared" si="8"/>
        <v>0</v>
      </c>
      <c r="AJ34" s="4">
        <f t="shared" si="8"/>
        <v>0</v>
      </c>
      <c r="AK34" s="4">
        <f t="shared" si="8"/>
        <v>0</v>
      </c>
      <c r="AL34" s="4">
        <f t="shared" si="8"/>
        <v>1</v>
      </c>
      <c r="AM34" s="4">
        <f t="shared" si="8"/>
        <v>0</v>
      </c>
      <c r="AN34" s="4">
        <f t="shared" si="8"/>
        <v>0</v>
      </c>
      <c r="AO34" s="4">
        <f t="shared" si="8"/>
        <v>0</v>
      </c>
      <c r="AP34" s="4">
        <f t="shared" si="8"/>
        <v>0</v>
      </c>
      <c r="AQ34" s="4">
        <f t="shared" si="8"/>
        <v>0</v>
      </c>
      <c r="AR34" s="4">
        <f t="shared" si="8"/>
        <v>0</v>
      </c>
      <c r="AS34" s="4">
        <f t="shared" si="8"/>
        <v>0</v>
      </c>
      <c r="AT34" s="4">
        <f t="shared" si="8"/>
        <v>0</v>
      </c>
      <c r="AU34" s="4">
        <f t="shared" si="8"/>
        <v>0</v>
      </c>
      <c r="AV34" s="4">
        <f>SUM(AV26:AV33)</f>
        <v>1</v>
      </c>
    </row>
    <row r="38" spans="2:48" x14ac:dyDescent="0.25">
      <c r="B38" t="s">
        <v>0</v>
      </c>
      <c r="C38">
        <v>2015</v>
      </c>
      <c r="D38">
        <v>2016</v>
      </c>
      <c r="E38">
        <v>2017</v>
      </c>
      <c r="F38">
        <v>2018</v>
      </c>
      <c r="G38">
        <v>2019</v>
      </c>
      <c r="H38">
        <v>2020</v>
      </c>
      <c r="I38">
        <v>2021</v>
      </c>
      <c r="J38">
        <v>2022</v>
      </c>
      <c r="K38">
        <v>2023</v>
      </c>
      <c r="L38">
        <v>2024</v>
      </c>
      <c r="M38">
        <v>2025</v>
      </c>
      <c r="N38">
        <v>2026</v>
      </c>
      <c r="O38">
        <v>2027</v>
      </c>
      <c r="P38">
        <v>2028</v>
      </c>
      <c r="Q38">
        <v>2029</v>
      </c>
      <c r="R38">
        <v>2030</v>
      </c>
      <c r="S38">
        <v>2031</v>
      </c>
      <c r="T38">
        <v>2032</v>
      </c>
      <c r="U38">
        <v>2033</v>
      </c>
      <c r="V38">
        <v>2034</v>
      </c>
      <c r="W38">
        <v>2035</v>
      </c>
      <c r="X38">
        <v>2036</v>
      </c>
      <c r="Y38">
        <v>2037</v>
      </c>
      <c r="Z38">
        <v>2038</v>
      </c>
      <c r="AA38">
        <v>2039</v>
      </c>
      <c r="AB38">
        <v>2040</v>
      </c>
      <c r="AC38">
        <v>2041</v>
      </c>
      <c r="AD38">
        <v>2042</v>
      </c>
      <c r="AE38">
        <v>2043</v>
      </c>
      <c r="AF38">
        <v>2044</v>
      </c>
      <c r="AG38">
        <v>2045</v>
      </c>
      <c r="AH38">
        <v>2046</v>
      </c>
      <c r="AI38">
        <v>2047</v>
      </c>
      <c r="AJ38">
        <v>2048</v>
      </c>
      <c r="AK38">
        <v>2049</v>
      </c>
      <c r="AL38">
        <v>2050</v>
      </c>
      <c r="AM38">
        <v>2051</v>
      </c>
      <c r="AN38">
        <v>2052</v>
      </c>
      <c r="AO38">
        <v>2053</v>
      </c>
      <c r="AP38">
        <v>2054</v>
      </c>
      <c r="AQ38">
        <v>2055</v>
      </c>
      <c r="AR38">
        <v>2056</v>
      </c>
      <c r="AS38">
        <v>2057</v>
      </c>
      <c r="AT38">
        <v>2058</v>
      </c>
      <c r="AU38">
        <v>2059</v>
      </c>
      <c r="AV38">
        <v>2060</v>
      </c>
    </row>
    <row r="39" spans="2:48" x14ac:dyDescent="0.25">
      <c r="B39" t="s">
        <v>232</v>
      </c>
      <c r="C39" s="3">
        <f>SUM(C27,C28,C29,C31,C32)</f>
        <v>0.64</v>
      </c>
      <c r="D39" s="3"/>
      <c r="E39" s="3"/>
      <c r="F39" s="3"/>
      <c r="G39" s="3"/>
      <c r="H39" s="3">
        <f>SUM(H27,H28,H29,H31,H32)</f>
        <v>0.64999999999999991</v>
      </c>
      <c r="I39" s="3"/>
      <c r="J39" s="3"/>
      <c r="K39" s="3"/>
      <c r="L39" s="3"/>
      <c r="M39" s="3">
        <f>SUM(M27,M28,M29,M31,M32)</f>
        <v>0</v>
      </c>
      <c r="N39" s="3"/>
      <c r="O39" s="3"/>
      <c r="P39" s="3"/>
      <c r="Q39" s="3"/>
      <c r="R39" s="3">
        <f>SUM(R27,R28,R29,R31,R32)</f>
        <v>0.77</v>
      </c>
      <c r="S39" s="3"/>
      <c r="T39" s="3"/>
      <c r="U39" s="3"/>
      <c r="V39" s="3"/>
      <c r="W39" s="3"/>
      <c r="X39" s="3"/>
      <c r="Y39" s="3"/>
      <c r="Z39" s="3"/>
      <c r="AA39" s="3"/>
      <c r="AB39" s="3">
        <f>SUM(AB27,AB28,AB29,AB31,AB32)</f>
        <v>0.86</v>
      </c>
      <c r="AC39" s="3"/>
      <c r="AD39" s="3"/>
      <c r="AE39" s="3"/>
      <c r="AF39" s="3"/>
      <c r="AG39" s="3"/>
      <c r="AH39" s="3"/>
      <c r="AI39" s="3"/>
      <c r="AJ39" s="3"/>
      <c r="AK39" s="3"/>
      <c r="AL39" s="3">
        <f>SUM(AL27,AL28,AL29,AL31,AL32)</f>
        <v>0.86</v>
      </c>
      <c r="AM39" s="3"/>
      <c r="AN39" s="3"/>
      <c r="AO39" s="3"/>
      <c r="AP39" s="3"/>
      <c r="AQ39" s="3"/>
      <c r="AR39" s="3"/>
      <c r="AS39" s="3"/>
      <c r="AT39" s="3"/>
      <c r="AU39" s="3"/>
      <c r="AV39" s="3">
        <f>SUM(AV27,AV28,AV29,AV31,AV32)</f>
        <v>0.86</v>
      </c>
    </row>
    <row r="40" spans="2:48" x14ac:dyDescent="0.25">
      <c r="B40" t="s">
        <v>2</v>
      </c>
      <c r="C40" s="3">
        <f>C26</f>
        <v>0.15</v>
      </c>
      <c r="D40" s="3"/>
      <c r="E40" s="3"/>
      <c r="F40" s="3"/>
      <c r="G40" s="3"/>
      <c r="H40" s="3">
        <f>H26</f>
        <v>0.15</v>
      </c>
      <c r="I40" s="3"/>
      <c r="J40" s="3"/>
      <c r="K40" s="3"/>
      <c r="L40" s="3"/>
      <c r="M40" s="3">
        <f>M26</f>
        <v>0</v>
      </c>
      <c r="N40" s="3"/>
      <c r="O40" s="3"/>
      <c r="P40" s="3"/>
      <c r="Q40" s="3"/>
      <c r="R40" s="3">
        <f>R26</f>
        <v>0.13</v>
      </c>
      <c r="S40" s="3"/>
      <c r="T40" s="3"/>
      <c r="U40" s="3"/>
      <c r="V40" s="3"/>
      <c r="W40" s="3"/>
      <c r="X40" s="3"/>
      <c r="Y40" s="3"/>
      <c r="Z40" s="3"/>
      <c r="AA40" s="3"/>
      <c r="AB40" s="3">
        <f>AB26</f>
        <v>7.0000000000000007E-2</v>
      </c>
      <c r="AC40" s="3"/>
      <c r="AD40" s="3"/>
      <c r="AE40" s="3"/>
      <c r="AF40" s="3"/>
      <c r="AG40" s="3"/>
      <c r="AH40" s="3"/>
      <c r="AI40" s="3"/>
      <c r="AJ40" s="3"/>
      <c r="AK40" s="3"/>
      <c r="AL40" s="3">
        <f>AL26</f>
        <v>7.0000000000000007E-2</v>
      </c>
      <c r="AM40" s="3"/>
      <c r="AN40" s="3"/>
      <c r="AO40" s="3"/>
      <c r="AP40" s="3"/>
      <c r="AQ40" s="3"/>
      <c r="AR40" s="3"/>
      <c r="AS40" s="3"/>
      <c r="AT40" s="3"/>
      <c r="AU40" s="3"/>
      <c r="AV40" s="3">
        <f>AV26</f>
        <v>7.0000000000000007E-2</v>
      </c>
    </row>
    <row r="41" spans="2:48" x14ac:dyDescent="0.25">
      <c r="B41" t="s">
        <v>8</v>
      </c>
      <c r="C41" s="3">
        <f>C30</f>
        <v>0.21</v>
      </c>
      <c r="D41" s="3"/>
      <c r="E41" s="3"/>
      <c r="F41" s="3"/>
      <c r="G41" s="3"/>
      <c r="H41" s="3">
        <f>H30</f>
        <v>0.2</v>
      </c>
      <c r="I41" s="3"/>
      <c r="J41" s="3"/>
      <c r="K41" s="3"/>
      <c r="L41" s="3"/>
      <c r="M41" s="3">
        <f>M30</f>
        <v>0</v>
      </c>
      <c r="N41" s="3"/>
      <c r="O41" s="3"/>
      <c r="P41" s="3"/>
      <c r="Q41" s="3"/>
      <c r="R41" s="3">
        <f>R30</f>
        <v>0.1</v>
      </c>
      <c r="S41" s="3"/>
      <c r="T41" s="3"/>
      <c r="U41" s="3"/>
      <c r="V41" s="3"/>
      <c r="W41" s="3"/>
      <c r="X41" s="3"/>
      <c r="Y41" s="3"/>
      <c r="Z41" s="3"/>
      <c r="AA41" s="3"/>
      <c r="AB41" s="3">
        <f>AB30</f>
        <v>7.0000000000000007E-2</v>
      </c>
      <c r="AC41" s="3"/>
      <c r="AD41" s="3"/>
      <c r="AE41" s="3"/>
      <c r="AF41" s="3"/>
      <c r="AG41" s="3"/>
      <c r="AH41" s="3"/>
      <c r="AI41" s="3"/>
      <c r="AJ41" s="3"/>
      <c r="AK41" s="3"/>
      <c r="AL41" s="3">
        <f>AL30</f>
        <v>7.0000000000000007E-2</v>
      </c>
      <c r="AM41" s="3"/>
      <c r="AN41" s="3"/>
      <c r="AO41" s="3"/>
      <c r="AP41" s="3"/>
      <c r="AQ41" s="3"/>
      <c r="AR41" s="3"/>
      <c r="AS41" s="3"/>
      <c r="AT41" s="3"/>
      <c r="AU41" s="3"/>
      <c r="AV41" s="3">
        <f>AV30</f>
        <v>7.0000000000000007E-2</v>
      </c>
    </row>
    <row r="44" spans="2:48" x14ac:dyDescent="0.25">
      <c r="B44" t="s">
        <v>0</v>
      </c>
      <c r="C44">
        <v>2015</v>
      </c>
      <c r="D44">
        <v>2016</v>
      </c>
      <c r="E44">
        <v>2017</v>
      </c>
      <c r="F44">
        <v>2018</v>
      </c>
      <c r="G44">
        <v>2019</v>
      </c>
      <c r="H44">
        <v>2020</v>
      </c>
      <c r="I44">
        <v>2021</v>
      </c>
      <c r="J44">
        <v>2022</v>
      </c>
      <c r="K44">
        <v>2023</v>
      </c>
      <c r="L44">
        <v>2024</v>
      </c>
      <c r="M44">
        <v>2025</v>
      </c>
      <c r="N44">
        <v>2026</v>
      </c>
      <c r="O44">
        <v>2027</v>
      </c>
      <c r="P44">
        <v>2028</v>
      </c>
      <c r="Q44">
        <v>2029</v>
      </c>
      <c r="R44">
        <v>2030</v>
      </c>
      <c r="S44">
        <v>2031</v>
      </c>
      <c r="T44">
        <v>2032</v>
      </c>
      <c r="U44">
        <v>2033</v>
      </c>
      <c r="V44">
        <v>2034</v>
      </c>
      <c r="W44">
        <v>2035</v>
      </c>
      <c r="X44">
        <v>2036</v>
      </c>
      <c r="Y44">
        <v>2037</v>
      </c>
      <c r="Z44">
        <v>2038</v>
      </c>
      <c r="AA44">
        <v>2039</v>
      </c>
      <c r="AB44">
        <v>2040</v>
      </c>
      <c r="AC44">
        <v>2041</v>
      </c>
      <c r="AD44">
        <v>2042</v>
      </c>
      <c r="AE44">
        <v>2043</v>
      </c>
      <c r="AF44">
        <v>2044</v>
      </c>
      <c r="AG44">
        <v>2045</v>
      </c>
      <c r="AH44">
        <v>2046</v>
      </c>
      <c r="AI44">
        <v>2047</v>
      </c>
      <c r="AJ44">
        <v>2048</v>
      </c>
      <c r="AK44">
        <v>2049</v>
      </c>
      <c r="AL44">
        <v>2050</v>
      </c>
      <c r="AM44">
        <v>2051</v>
      </c>
      <c r="AN44">
        <v>2052</v>
      </c>
      <c r="AO44">
        <v>2053</v>
      </c>
      <c r="AP44">
        <v>2054</v>
      </c>
      <c r="AQ44">
        <v>2055</v>
      </c>
      <c r="AR44">
        <v>2056</v>
      </c>
      <c r="AS44">
        <v>2057</v>
      </c>
      <c r="AT44">
        <v>2058</v>
      </c>
      <c r="AU44">
        <v>2059</v>
      </c>
      <c r="AV44">
        <v>2060</v>
      </c>
    </row>
    <row r="45" spans="2:48" x14ac:dyDescent="0.25">
      <c r="B45" t="s">
        <v>2</v>
      </c>
      <c r="C45" s="3">
        <v>0.15</v>
      </c>
      <c r="H45" s="3">
        <v>0.15</v>
      </c>
      <c r="I45" s="19"/>
      <c r="J45" s="19"/>
      <c r="K45" s="19"/>
      <c r="L45" s="19"/>
      <c r="M45" s="19"/>
      <c r="N45" s="19"/>
      <c r="O45" s="19"/>
      <c r="P45" s="19"/>
      <c r="Q45" s="19"/>
      <c r="R45" s="19">
        <v>0.13</v>
      </c>
      <c r="S45" s="19"/>
      <c r="T45" s="19"/>
      <c r="U45" s="19"/>
      <c r="V45" s="19"/>
      <c r="W45" s="19"/>
      <c r="X45" s="19"/>
      <c r="Y45" s="19"/>
      <c r="Z45" s="19"/>
      <c r="AA45" s="19"/>
      <c r="AB45" s="19">
        <v>0.05</v>
      </c>
      <c r="AC45" s="19"/>
      <c r="AD45" s="19"/>
      <c r="AE45" s="19"/>
      <c r="AF45" s="19"/>
      <c r="AG45" s="19"/>
      <c r="AH45" s="19"/>
      <c r="AI45" s="19"/>
      <c r="AJ45" s="19"/>
      <c r="AK45" s="19"/>
      <c r="AL45" s="19">
        <v>7.0000000000000007E-2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>
        <v>0</v>
      </c>
    </row>
    <row r="46" spans="2:48" x14ac:dyDescent="0.25">
      <c r="B46" t="s">
        <v>151</v>
      </c>
      <c r="C46" s="3">
        <v>0.3</v>
      </c>
      <c r="H46" s="3">
        <v>0.12</v>
      </c>
      <c r="I46" s="19"/>
      <c r="J46" s="19"/>
      <c r="K46" s="19"/>
      <c r="L46" s="19"/>
      <c r="M46" s="19"/>
      <c r="N46" s="19"/>
      <c r="O46" s="19"/>
      <c r="P46" s="19"/>
      <c r="Q46" s="19"/>
      <c r="R46" s="19"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9">
        <v>0</v>
      </c>
      <c r="AC46" s="19"/>
      <c r="AD46" s="19"/>
      <c r="AE46" s="19"/>
      <c r="AF46" s="19"/>
      <c r="AG46" s="19"/>
      <c r="AH46" s="19"/>
      <c r="AI46" s="19"/>
      <c r="AJ46" s="19"/>
      <c r="AK46" s="19"/>
      <c r="AL46" s="19">
        <v>0</v>
      </c>
      <c r="AM46" s="19"/>
      <c r="AN46" s="19"/>
      <c r="AO46" s="19"/>
      <c r="AP46" s="19"/>
      <c r="AQ46" s="19"/>
      <c r="AR46" s="19"/>
      <c r="AS46" s="19"/>
      <c r="AT46" s="19"/>
      <c r="AU46" s="19"/>
      <c r="AV46" s="19">
        <v>0</v>
      </c>
    </row>
    <row r="47" spans="2:48" x14ac:dyDescent="0.25">
      <c r="B47" t="s">
        <v>5</v>
      </c>
      <c r="C47" s="3">
        <v>0.1</v>
      </c>
      <c r="H47" s="3">
        <v>0.23</v>
      </c>
      <c r="I47" s="19"/>
      <c r="J47" s="19"/>
      <c r="K47" s="19"/>
      <c r="L47" s="19"/>
      <c r="M47" s="19"/>
      <c r="N47" s="19"/>
      <c r="O47" s="19"/>
      <c r="P47" s="19"/>
      <c r="Q47" s="19"/>
      <c r="R47" s="19">
        <v>0.27</v>
      </c>
      <c r="S47" s="19"/>
      <c r="T47" s="19"/>
      <c r="U47" s="19"/>
      <c r="V47" s="19"/>
      <c r="W47" s="19"/>
      <c r="X47" s="19"/>
      <c r="Y47" s="19"/>
      <c r="Z47" s="19"/>
      <c r="AA47" s="19"/>
      <c r="AB47" s="19">
        <v>0.14000000000000001</v>
      </c>
      <c r="AC47" s="19"/>
      <c r="AD47" s="19"/>
      <c r="AE47" s="19"/>
      <c r="AF47" s="19"/>
      <c r="AG47" s="19"/>
      <c r="AH47" s="19"/>
      <c r="AI47" s="19"/>
      <c r="AJ47" s="19"/>
      <c r="AK47" s="19"/>
      <c r="AL47" s="19">
        <v>0.1</v>
      </c>
      <c r="AM47" s="19"/>
      <c r="AN47" s="19"/>
      <c r="AO47" s="19"/>
      <c r="AP47" s="19"/>
      <c r="AQ47" s="19"/>
      <c r="AR47" s="19"/>
      <c r="AS47" s="19"/>
      <c r="AT47" s="19"/>
      <c r="AU47" s="19"/>
      <c r="AV47" s="19">
        <v>0.05</v>
      </c>
    </row>
    <row r="48" spans="2:48" x14ac:dyDescent="0.25">
      <c r="B48" t="s">
        <v>137</v>
      </c>
      <c r="C48" s="3">
        <v>0</v>
      </c>
      <c r="H48" s="3">
        <v>0.1</v>
      </c>
      <c r="I48" s="19"/>
      <c r="J48" s="19"/>
      <c r="K48" s="19"/>
      <c r="L48" s="19"/>
      <c r="M48" s="19"/>
      <c r="N48" s="19"/>
      <c r="O48" s="19"/>
      <c r="P48" s="19"/>
      <c r="Q48" s="19"/>
      <c r="R48" s="19">
        <v>0.27</v>
      </c>
      <c r="S48" s="19"/>
      <c r="T48" s="19"/>
      <c r="U48" s="19"/>
      <c r="V48" s="19"/>
      <c r="W48" s="19"/>
      <c r="X48" s="19"/>
      <c r="Y48" s="19"/>
      <c r="Z48" s="19"/>
      <c r="AA48" s="19"/>
      <c r="AB48" s="19">
        <v>0.43</v>
      </c>
      <c r="AC48" s="19"/>
      <c r="AD48" s="19"/>
      <c r="AE48" s="19"/>
      <c r="AF48" s="19"/>
      <c r="AG48" s="19"/>
      <c r="AH48" s="19"/>
      <c r="AI48" s="19"/>
      <c r="AJ48" s="19"/>
      <c r="AK48" s="19"/>
      <c r="AL48" s="19">
        <v>0.2</v>
      </c>
      <c r="AM48" s="19"/>
      <c r="AN48" s="19"/>
      <c r="AO48" s="19"/>
      <c r="AP48" s="19"/>
      <c r="AQ48" s="19"/>
      <c r="AR48" s="19"/>
      <c r="AS48" s="19"/>
      <c r="AT48" s="19"/>
      <c r="AU48" s="19"/>
      <c r="AV48" s="19">
        <v>0.2</v>
      </c>
    </row>
    <row r="49" spans="2:48" x14ac:dyDescent="0.25">
      <c r="B49" t="s">
        <v>8</v>
      </c>
      <c r="C49" s="3">
        <v>0.21</v>
      </c>
      <c r="H49" s="3">
        <v>0.2</v>
      </c>
      <c r="I49" s="19"/>
      <c r="J49" s="19"/>
      <c r="K49" s="19"/>
      <c r="L49" s="19"/>
      <c r="M49" s="19"/>
      <c r="N49" s="19"/>
      <c r="O49" s="19"/>
      <c r="P49" s="19"/>
      <c r="Q49" s="19"/>
      <c r="R49" s="19">
        <v>0.1</v>
      </c>
      <c r="S49" s="19"/>
      <c r="T49" s="19"/>
      <c r="U49" s="19"/>
      <c r="V49" s="19"/>
      <c r="W49" s="19"/>
      <c r="X49" s="19"/>
      <c r="Y49" s="19"/>
      <c r="Z49" s="19"/>
      <c r="AA49" s="19"/>
      <c r="AB49" s="19">
        <v>0.05</v>
      </c>
      <c r="AC49" s="19"/>
      <c r="AD49" s="19"/>
      <c r="AE49" s="19"/>
      <c r="AF49" s="19"/>
      <c r="AG49" s="19"/>
      <c r="AH49" s="19"/>
      <c r="AI49" s="19"/>
      <c r="AJ49" s="19"/>
      <c r="AK49" s="19"/>
      <c r="AL49" s="19">
        <v>0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>
        <v>0</v>
      </c>
    </row>
    <row r="50" spans="2:48" x14ac:dyDescent="0.25">
      <c r="B50" t="s">
        <v>164</v>
      </c>
      <c r="C50" s="3">
        <v>0.24</v>
      </c>
      <c r="H50" s="3">
        <v>0.2</v>
      </c>
      <c r="I50" s="19"/>
      <c r="J50" s="19"/>
      <c r="K50" s="19"/>
      <c r="L50" s="19"/>
      <c r="M50" s="19"/>
      <c r="N50" s="19"/>
      <c r="O50" s="19"/>
      <c r="P50" s="19"/>
      <c r="Q50" s="19"/>
      <c r="R50" s="19">
        <v>0</v>
      </c>
      <c r="S50" s="19"/>
      <c r="T50" s="19"/>
      <c r="U50" s="19"/>
      <c r="V50" s="19"/>
      <c r="W50" s="19"/>
      <c r="X50" s="19"/>
      <c r="Y50" s="19"/>
      <c r="Z50" s="19"/>
      <c r="AA50" s="19"/>
      <c r="AB50" s="19">
        <v>0</v>
      </c>
      <c r="AC50" s="19"/>
      <c r="AD50" s="19"/>
      <c r="AE50" s="19"/>
      <c r="AF50" s="19"/>
      <c r="AG50" s="19"/>
      <c r="AH50" s="19"/>
      <c r="AI50" s="19"/>
      <c r="AJ50" s="19"/>
      <c r="AK50" s="19"/>
      <c r="AL50" s="19">
        <v>0</v>
      </c>
      <c r="AM50" s="19"/>
      <c r="AN50" s="19"/>
      <c r="AO50" s="19"/>
      <c r="AP50" s="19"/>
      <c r="AQ50" s="19"/>
      <c r="AR50" s="19"/>
      <c r="AS50" s="19"/>
      <c r="AT50" s="19"/>
      <c r="AU50" s="19"/>
      <c r="AV50" s="19">
        <v>0</v>
      </c>
    </row>
    <row r="51" spans="2:48" x14ac:dyDescent="0.25">
      <c r="B51" t="s">
        <v>168</v>
      </c>
      <c r="C51" s="3">
        <v>0</v>
      </c>
      <c r="H51" s="3">
        <v>0</v>
      </c>
      <c r="I51" s="19"/>
      <c r="J51" s="19"/>
      <c r="K51" s="19"/>
      <c r="L51" s="19"/>
      <c r="M51" s="19"/>
      <c r="N51" s="19"/>
      <c r="O51" s="19"/>
      <c r="P51" s="19"/>
      <c r="Q51" s="19"/>
      <c r="R51" s="19">
        <v>0.21</v>
      </c>
      <c r="S51" s="19"/>
      <c r="T51" s="19"/>
      <c r="U51" s="19"/>
      <c r="V51" s="19"/>
      <c r="W51" s="19"/>
      <c r="X51" s="19"/>
      <c r="Y51" s="19"/>
      <c r="Z51" s="19"/>
      <c r="AA51" s="19"/>
      <c r="AB51" s="19">
        <v>0.23</v>
      </c>
      <c r="AC51" s="19"/>
      <c r="AD51" s="19"/>
      <c r="AE51" s="19"/>
      <c r="AF51" s="19"/>
      <c r="AG51" s="19"/>
      <c r="AH51" s="19"/>
      <c r="AI51" s="19"/>
      <c r="AJ51" s="19"/>
      <c r="AK51" s="19"/>
      <c r="AL51" s="19">
        <v>0.4</v>
      </c>
      <c r="AM51" s="19"/>
      <c r="AN51" s="19"/>
      <c r="AO51" s="19"/>
      <c r="AP51" s="19"/>
      <c r="AQ51" s="19"/>
      <c r="AR51" s="19"/>
      <c r="AS51" s="19"/>
      <c r="AT51" s="19"/>
      <c r="AU51" s="19"/>
      <c r="AV51" s="19">
        <v>0.4</v>
      </c>
    </row>
    <row r="52" spans="2:48" x14ac:dyDescent="0.25">
      <c r="B52" t="s">
        <v>156</v>
      </c>
      <c r="C52" s="19">
        <v>0</v>
      </c>
      <c r="D52" s="19"/>
      <c r="E52" s="19"/>
      <c r="F52" s="19"/>
      <c r="G52" s="19"/>
      <c r="H52" s="19">
        <v>0</v>
      </c>
      <c r="I52" s="19"/>
      <c r="J52" s="19"/>
      <c r="K52" s="19"/>
      <c r="L52" s="19"/>
      <c r="M52" s="19"/>
      <c r="N52" s="19"/>
      <c r="O52" s="19"/>
      <c r="P52" s="19"/>
      <c r="Q52" s="19"/>
      <c r="R52" s="19">
        <v>0.02</v>
      </c>
      <c r="S52" s="19"/>
      <c r="T52" s="19"/>
      <c r="U52" s="19"/>
      <c r="V52" s="19"/>
      <c r="W52" s="19"/>
      <c r="X52" s="19"/>
      <c r="Y52" s="19"/>
      <c r="Z52" s="19"/>
      <c r="AA52" s="19"/>
      <c r="AB52" s="19">
        <v>0.1</v>
      </c>
      <c r="AC52" s="19"/>
      <c r="AD52" s="19"/>
      <c r="AE52" s="19"/>
      <c r="AF52" s="19"/>
      <c r="AG52" s="19"/>
      <c r="AH52" s="19"/>
      <c r="AI52" s="19"/>
      <c r="AJ52" s="19"/>
      <c r="AK52" s="19"/>
      <c r="AL52" s="19">
        <v>0.23</v>
      </c>
      <c r="AM52" s="19"/>
      <c r="AN52" s="19"/>
      <c r="AO52" s="19"/>
      <c r="AP52" s="19"/>
      <c r="AQ52" s="19"/>
      <c r="AR52" s="19"/>
      <c r="AS52" s="19"/>
      <c r="AT52" s="19"/>
      <c r="AU52" s="19"/>
      <c r="AV52" s="19">
        <v>0.35</v>
      </c>
    </row>
    <row r="53" spans="2:48" x14ac:dyDescent="0.25">
      <c r="C53" s="21">
        <f>SUM(C45:C52)</f>
        <v>0.99999999999999989</v>
      </c>
      <c r="D53" s="21">
        <f t="shared" ref="D53:AV53" si="9">SUM(D45:D52)</f>
        <v>0</v>
      </c>
      <c r="E53" s="21">
        <f t="shared" si="9"/>
        <v>0</v>
      </c>
      <c r="F53" s="21">
        <f t="shared" si="9"/>
        <v>0</v>
      </c>
      <c r="G53" s="21">
        <f t="shared" si="9"/>
        <v>0</v>
      </c>
      <c r="H53" s="21">
        <f t="shared" si="9"/>
        <v>1</v>
      </c>
      <c r="I53" s="21">
        <f t="shared" si="9"/>
        <v>0</v>
      </c>
      <c r="J53" s="21">
        <f t="shared" si="9"/>
        <v>0</v>
      </c>
      <c r="K53" s="21">
        <f t="shared" si="9"/>
        <v>0</v>
      </c>
      <c r="L53" s="21">
        <f t="shared" si="9"/>
        <v>0</v>
      </c>
      <c r="M53" s="21">
        <f t="shared" si="9"/>
        <v>0</v>
      </c>
      <c r="N53" s="21">
        <f t="shared" si="9"/>
        <v>0</v>
      </c>
      <c r="O53" s="21">
        <f t="shared" si="9"/>
        <v>0</v>
      </c>
      <c r="P53" s="21">
        <f t="shared" si="9"/>
        <v>0</v>
      </c>
      <c r="Q53" s="21">
        <f t="shared" si="9"/>
        <v>0</v>
      </c>
      <c r="R53" s="21">
        <f t="shared" si="9"/>
        <v>1</v>
      </c>
      <c r="S53" s="21">
        <f t="shared" si="9"/>
        <v>0</v>
      </c>
      <c r="T53" s="21">
        <f t="shared" si="9"/>
        <v>0</v>
      </c>
      <c r="U53" s="21">
        <f t="shared" si="9"/>
        <v>0</v>
      </c>
      <c r="V53" s="21">
        <f t="shared" si="9"/>
        <v>0</v>
      </c>
      <c r="W53" s="21">
        <f t="shared" si="9"/>
        <v>0</v>
      </c>
      <c r="X53" s="21">
        <f t="shared" si="9"/>
        <v>0</v>
      </c>
      <c r="Y53" s="21">
        <f t="shared" si="9"/>
        <v>0</v>
      </c>
      <c r="Z53" s="21">
        <f t="shared" si="9"/>
        <v>0</v>
      </c>
      <c r="AA53" s="21">
        <f t="shared" si="9"/>
        <v>0</v>
      </c>
      <c r="AB53" s="21">
        <f t="shared" si="9"/>
        <v>1</v>
      </c>
      <c r="AC53" s="21">
        <f t="shared" si="9"/>
        <v>0</v>
      </c>
      <c r="AD53" s="21">
        <f t="shared" si="9"/>
        <v>0</v>
      </c>
      <c r="AE53" s="21">
        <f t="shared" si="9"/>
        <v>0</v>
      </c>
      <c r="AF53" s="21">
        <f t="shared" si="9"/>
        <v>0</v>
      </c>
      <c r="AG53" s="21">
        <f t="shared" si="9"/>
        <v>0</v>
      </c>
      <c r="AH53" s="21">
        <f t="shared" si="9"/>
        <v>0</v>
      </c>
      <c r="AI53" s="21">
        <f t="shared" si="9"/>
        <v>0</v>
      </c>
      <c r="AJ53" s="21">
        <f t="shared" si="9"/>
        <v>0</v>
      </c>
      <c r="AK53" s="21">
        <f t="shared" si="9"/>
        <v>0</v>
      </c>
      <c r="AL53" s="21">
        <f t="shared" si="9"/>
        <v>1</v>
      </c>
      <c r="AM53" s="21">
        <f t="shared" si="9"/>
        <v>0</v>
      </c>
      <c r="AN53" s="21">
        <f t="shared" si="9"/>
        <v>0</v>
      </c>
      <c r="AO53" s="21">
        <f t="shared" si="9"/>
        <v>0</v>
      </c>
      <c r="AP53" s="21">
        <f t="shared" si="9"/>
        <v>0</v>
      </c>
      <c r="AQ53" s="21">
        <f t="shared" si="9"/>
        <v>0</v>
      </c>
      <c r="AR53" s="21">
        <f t="shared" si="9"/>
        <v>0</v>
      </c>
      <c r="AS53" s="21">
        <f t="shared" si="9"/>
        <v>0</v>
      </c>
      <c r="AT53" s="21">
        <f t="shared" si="9"/>
        <v>0</v>
      </c>
      <c r="AU53" s="21">
        <f t="shared" si="9"/>
        <v>0</v>
      </c>
      <c r="AV53" s="21">
        <f t="shared" si="9"/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8"/>
  <sheetViews>
    <sheetView topLeftCell="A14" zoomScale="71" workbookViewId="0"/>
  </sheetViews>
  <sheetFormatPr defaultRowHeight="15" x14ac:dyDescent="0.25"/>
  <cols>
    <col min="3" max="3" width="19" bestFit="1" customWidth="1"/>
  </cols>
  <sheetData>
    <row r="1" spans="1:10" x14ac:dyDescent="0.25">
      <c r="A1" s="1" t="s">
        <v>113</v>
      </c>
      <c r="B1" s="1"/>
      <c r="C1" s="1" t="s">
        <v>107</v>
      </c>
      <c r="D1" s="1"/>
      <c r="E1" s="1" t="s">
        <v>108</v>
      </c>
      <c r="F1" s="1"/>
      <c r="G1" s="1" t="s">
        <v>109</v>
      </c>
      <c r="H1" s="1" t="s">
        <v>110</v>
      </c>
    </row>
    <row r="2" spans="1:10" x14ac:dyDescent="0.25">
      <c r="A2" s="1" t="s">
        <v>121</v>
      </c>
    </row>
    <row r="3" spans="1:10" x14ac:dyDescent="0.25">
      <c r="A3" s="1"/>
      <c r="C3" t="s">
        <v>106</v>
      </c>
    </row>
    <row r="4" spans="1:10" x14ac:dyDescent="0.25">
      <c r="E4" t="s">
        <v>38</v>
      </c>
      <c r="G4">
        <v>0.19</v>
      </c>
      <c r="H4" t="s">
        <v>111</v>
      </c>
    </row>
    <row r="6" spans="1:10" x14ac:dyDescent="0.25">
      <c r="C6" t="s">
        <v>112</v>
      </c>
      <c r="E6" t="s">
        <v>114</v>
      </c>
      <c r="G6">
        <f>0.045+0.035</f>
        <v>0.08</v>
      </c>
      <c r="H6" t="s">
        <v>111</v>
      </c>
    </row>
    <row r="7" spans="1:10" x14ac:dyDescent="0.25">
      <c r="E7" t="s">
        <v>115</v>
      </c>
      <c r="G7">
        <f>0.019*2</f>
        <v>3.7999999999999999E-2</v>
      </c>
      <c r="H7" t="s">
        <v>111</v>
      </c>
    </row>
    <row r="9" spans="1:10" x14ac:dyDescent="0.25">
      <c r="C9" t="s">
        <v>116</v>
      </c>
      <c r="E9" t="s">
        <v>114</v>
      </c>
      <c r="G9">
        <v>1.6E-2</v>
      </c>
      <c r="H9" t="s">
        <v>111</v>
      </c>
    </row>
    <row r="10" spans="1:10" x14ac:dyDescent="0.25">
      <c r="E10" t="s">
        <v>81</v>
      </c>
      <c r="G10">
        <v>3.4000000000000002E-2</v>
      </c>
      <c r="H10" t="s">
        <v>111</v>
      </c>
    </row>
    <row r="11" spans="1:10" x14ac:dyDescent="0.25">
      <c r="E11" t="s">
        <v>117</v>
      </c>
      <c r="G11">
        <v>2.4E-2</v>
      </c>
      <c r="H11" t="s">
        <v>111</v>
      </c>
      <c r="J11" t="s">
        <v>118</v>
      </c>
    </row>
    <row r="13" spans="1:10" x14ac:dyDescent="0.25">
      <c r="C13" t="s">
        <v>119</v>
      </c>
      <c r="E13" t="s">
        <v>81</v>
      </c>
      <c r="G13">
        <v>1.9E-2</v>
      </c>
      <c r="H13" t="s">
        <v>111</v>
      </c>
    </row>
    <row r="14" spans="1:10" x14ac:dyDescent="0.25">
      <c r="E14" t="s">
        <v>114</v>
      </c>
      <c r="G14">
        <v>6.0000000000000001E-3</v>
      </c>
      <c r="H14" t="s">
        <v>111</v>
      </c>
    </row>
    <row r="15" spans="1:10" x14ac:dyDescent="0.25">
      <c r="E15" t="s">
        <v>96</v>
      </c>
      <c r="G15">
        <f>0.0006*2</f>
        <v>1.1999999999999999E-3</v>
      </c>
      <c r="H15" t="s">
        <v>111</v>
      </c>
      <c r="J15" t="s">
        <v>118</v>
      </c>
    </row>
    <row r="17" spans="1:10" x14ac:dyDescent="0.25">
      <c r="C17" t="s">
        <v>120</v>
      </c>
      <c r="E17" t="s">
        <v>96</v>
      </c>
      <c r="G17">
        <v>0.11</v>
      </c>
      <c r="H17" t="s">
        <v>111</v>
      </c>
      <c r="J17" t="s">
        <v>118</v>
      </c>
    </row>
    <row r="20" spans="1:10" x14ac:dyDescent="0.25">
      <c r="A20" s="1" t="s">
        <v>122</v>
      </c>
    </row>
    <row r="21" spans="1:10" x14ac:dyDescent="0.25">
      <c r="C21" t="s">
        <v>123</v>
      </c>
      <c r="E21" t="s">
        <v>38</v>
      </c>
      <c r="G21">
        <v>1.5037593984962405E-4</v>
      </c>
      <c r="H21" t="s">
        <v>111</v>
      </c>
    </row>
    <row r="22" spans="1:10" x14ac:dyDescent="0.25">
      <c r="E22" t="s">
        <v>114</v>
      </c>
      <c r="G22">
        <v>1.2781954887218045E-2</v>
      </c>
      <c r="H22" t="s">
        <v>111</v>
      </c>
    </row>
    <row r="23" spans="1:10" x14ac:dyDescent="0.25">
      <c r="E23" t="s">
        <v>115</v>
      </c>
      <c r="G23">
        <v>4.5112781954887212E-3</v>
      </c>
      <c r="H23" t="s">
        <v>111</v>
      </c>
    </row>
    <row r="24" spans="1:10" x14ac:dyDescent="0.25">
      <c r="E24" t="s">
        <v>124</v>
      </c>
      <c r="G24">
        <v>6.0150375939849619E-3</v>
      </c>
      <c r="H24" t="s">
        <v>111</v>
      </c>
    </row>
    <row r="25" spans="1:10" x14ac:dyDescent="0.25">
      <c r="E25" t="s">
        <v>81</v>
      </c>
      <c r="G25">
        <v>2.8947368421052631E-2</v>
      </c>
      <c r="H25" t="s">
        <v>111</v>
      </c>
    </row>
    <row r="26" spans="1:10" x14ac:dyDescent="0.25">
      <c r="E26" t="s">
        <v>96</v>
      </c>
      <c r="G26">
        <v>3.3834586466165409E-3</v>
      </c>
      <c r="H26" t="s">
        <v>111</v>
      </c>
      <c r="J26" t="s">
        <v>125</v>
      </c>
    </row>
    <row r="27" spans="1:10" x14ac:dyDescent="0.25">
      <c r="E27" t="s">
        <v>9</v>
      </c>
      <c r="G27">
        <v>5.0939849624060146E-2</v>
      </c>
      <c r="H27" t="s">
        <v>111</v>
      </c>
      <c r="J27" t="s">
        <v>126</v>
      </c>
    </row>
    <row r="29" spans="1:10" x14ac:dyDescent="0.25">
      <c r="C29" t="s">
        <v>127</v>
      </c>
      <c r="E29" t="s">
        <v>38</v>
      </c>
      <c r="G29">
        <v>9.4736842105263154E-4</v>
      </c>
      <c r="H29" t="s">
        <v>111</v>
      </c>
    </row>
    <row r="31" spans="1:10" x14ac:dyDescent="0.25">
      <c r="C31" t="s">
        <v>128</v>
      </c>
      <c r="E31" t="s">
        <v>38</v>
      </c>
      <c r="G31">
        <v>0.14285714285714285</v>
      </c>
      <c r="J31" t="s">
        <v>118</v>
      </c>
    </row>
    <row r="32" spans="1:10" x14ac:dyDescent="0.25">
      <c r="E32" t="s">
        <v>124</v>
      </c>
      <c r="G32">
        <v>1.5037593984962405E-3</v>
      </c>
    </row>
    <row r="33" spans="1:8" x14ac:dyDescent="0.25">
      <c r="E33" t="s">
        <v>115</v>
      </c>
      <c r="G33">
        <v>4.1353383458646613E-3</v>
      </c>
    </row>
    <row r="34" spans="1:8" x14ac:dyDescent="0.25">
      <c r="E34" t="s">
        <v>9</v>
      </c>
      <c r="G34">
        <v>3.0342105263157896E-2</v>
      </c>
    </row>
    <row r="36" spans="1:8" x14ac:dyDescent="0.25">
      <c r="A36" s="1" t="s">
        <v>129</v>
      </c>
    </row>
    <row r="37" spans="1:8" x14ac:dyDescent="0.25">
      <c r="C37" t="s">
        <v>130</v>
      </c>
    </row>
    <row r="38" spans="1:8" x14ac:dyDescent="0.25">
      <c r="E38" t="s">
        <v>114</v>
      </c>
      <c r="G38">
        <v>0.09</v>
      </c>
      <c r="H38" t="s">
        <v>111</v>
      </c>
    </row>
    <row r="40" spans="1:8" x14ac:dyDescent="0.25">
      <c r="C40" t="s">
        <v>131</v>
      </c>
      <c r="E40" t="s">
        <v>114</v>
      </c>
      <c r="G40">
        <f>2.4/26.6</f>
        <v>9.0225563909774431E-2</v>
      </c>
      <c r="H40" t="s">
        <v>111</v>
      </c>
    </row>
    <row r="42" spans="1:8" x14ac:dyDescent="0.25">
      <c r="C42" t="s">
        <v>132</v>
      </c>
      <c r="E42" t="s">
        <v>114</v>
      </c>
      <c r="G42">
        <f>0.24/26.6</f>
        <v>9.0225563909774424E-3</v>
      </c>
      <c r="H42" t="s">
        <v>111</v>
      </c>
    </row>
    <row r="44" spans="1:8" x14ac:dyDescent="0.25">
      <c r="C44" t="s">
        <v>133</v>
      </c>
      <c r="E44" t="s">
        <v>96</v>
      </c>
      <c r="G44">
        <f>0.03/26.6</f>
        <v>1.1278195488721803E-3</v>
      </c>
      <c r="H44" t="s">
        <v>111</v>
      </c>
    </row>
    <row r="46" spans="1:8" x14ac:dyDescent="0.25">
      <c r="A46" s="1" t="s">
        <v>134</v>
      </c>
    </row>
    <row r="47" spans="1:8" x14ac:dyDescent="0.25">
      <c r="E47" t="s">
        <v>96</v>
      </c>
      <c r="G47">
        <f>5.1/26.6</f>
        <v>0.19172932330827067</v>
      </c>
      <c r="H47" t="s">
        <v>111</v>
      </c>
    </row>
    <row r="48" spans="1:8" x14ac:dyDescent="0.25">
      <c r="E48" t="s">
        <v>38</v>
      </c>
      <c r="G48">
        <f>1.9/26.6</f>
        <v>7.1428571428571425E-2</v>
      </c>
      <c r="H48" t="s">
        <v>111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N15"/>
  <sheetViews>
    <sheetView topLeftCell="A43" zoomScale="63" workbookViewId="0"/>
  </sheetViews>
  <sheetFormatPr defaultRowHeight="15" x14ac:dyDescent="0.25"/>
  <sheetData>
    <row r="3" spans="2:14" x14ac:dyDescent="0.25">
      <c r="B3" t="s">
        <v>29</v>
      </c>
      <c r="E3">
        <f>100/C4</f>
        <v>2.2988505747126435</v>
      </c>
    </row>
    <row r="4" spans="2:14" x14ac:dyDescent="0.25">
      <c r="C4" s="18">
        <f>5.8+8.2+9.2+4.8+2.8+3.1+3.1+1+5.5</f>
        <v>43.5</v>
      </c>
    </row>
    <row r="5" spans="2:14" x14ac:dyDescent="0.25">
      <c r="L5" s="22"/>
      <c r="M5" s="22"/>
      <c r="N5" s="22"/>
    </row>
    <row r="6" spans="2:14" x14ac:dyDescent="0.25">
      <c r="C6" s="20">
        <v>0.435</v>
      </c>
      <c r="E6" t="s">
        <v>36</v>
      </c>
      <c r="F6" s="19">
        <v>0.113</v>
      </c>
      <c r="H6" s="19">
        <f>F6*$E$3</f>
        <v>0.25977011494252872</v>
      </c>
      <c r="L6" s="19">
        <v>0.18099999999999999</v>
      </c>
      <c r="N6" s="19">
        <f>L6*$L$14</f>
        <v>0.26617647058823529</v>
      </c>
    </row>
    <row r="7" spans="2:14" x14ac:dyDescent="0.25">
      <c r="E7" t="s">
        <v>20</v>
      </c>
      <c r="F7" s="19">
        <v>8.2000000000000003E-2</v>
      </c>
      <c r="H7" s="19">
        <f t="shared" ref="H7:H13" si="0">F7*$E$3</f>
        <v>0.18850574712643678</v>
      </c>
      <c r="L7" s="19">
        <v>0.153</v>
      </c>
      <c r="N7" s="19">
        <f>L7*$L$14</f>
        <v>0.22500000000000001</v>
      </c>
    </row>
    <row r="8" spans="2:14" x14ac:dyDescent="0.25">
      <c r="E8" t="s">
        <v>35</v>
      </c>
      <c r="F8" s="19">
        <v>9.1999999999999998E-2</v>
      </c>
      <c r="H8" s="19">
        <f t="shared" si="0"/>
        <v>0.21149425287356322</v>
      </c>
      <c r="L8" s="19">
        <v>8.5999999999999993E-2</v>
      </c>
      <c r="N8" s="19">
        <f>L8*$L$14</f>
        <v>0.12647058823529411</v>
      </c>
    </row>
    <row r="9" spans="2:14" x14ac:dyDescent="0.25">
      <c r="E9" t="s">
        <v>39</v>
      </c>
      <c r="F9" s="19">
        <v>4.8000000000000001E-2</v>
      </c>
      <c r="H9" s="19">
        <f t="shared" si="0"/>
        <v>0.1103448275862069</v>
      </c>
      <c r="J9" s="21">
        <f>SUM(H9:H13)</f>
        <v>0.34022988505747132</v>
      </c>
      <c r="L9" s="19">
        <v>0.26</v>
      </c>
      <c r="N9" s="19">
        <f>L9*$L$14</f>
        <v>0.38235294117647062</v>
      </c>
    </row>
    <row r="10" spans="2:14" x14ac:dyDescent="0.25">
      <c r="E10" t="s">
        <v>40</v>
      </c>
      <c r="F10" s="19">
        <v>2.8000000000000001E-2</v>
      </c>
      <c r="H10" s="19">
        <f t="shared" si="0"/>
        <v>6.4367816091954022E-2</v>
      </c>
    </row>
    <row r="11" spans="2:14" x14ac:dyDescent="0.25">
      <c r="E11" t="s">
        <v>32</v>
      </c>
      <c r="F11" s="19">
        <v>3.1E-2</v>
      </c>
      <c r="H11" s="19">
        <f t="shared" si="0"/>
        <v>7.1264367816091953E-2</v>
      </c>
      <c r="L11" s="21">
        <f>SUM(L6:L9)</f>
        <v>0.67999999999999994</v>
      </c>
    </row>
    <row r="12" spans="2:14" x14ac:dyDescent="0.25">
      <c r="E12" t="s">
        <v>33</v>
      </c>
      <c r="F12" s="19">
        <v>3.1E-2</v>
      </c>
      <c r="H12" s="19">
        <f t="shared" si="0"/>
        <v>7.1264367816091953E-2</v>
      </c>
    </row>
    <row r="13" spans="2:14" x14ac:dyDescent="0.25">
      <c r="E13" t="s">
        <v>31</v>
      </c>
      <c r="F13" s="19">
        <v>0.01</v>
      </c>
      <c r="H13" s="19">
        <f t="shared" si="0"/>
        <v>2.2988505747126436E-2</v>
      </c>
      <c r="L13">
        <v>68</v>
      </c>
    </row>
    <row r="14" spans="2:14" x14ac:dyDescent="0.25">
      <c r="L14">
        <f>100/L13</f>
        <v>1.4705882352941178</v>
      </c>
    </row>
    <row r="15" spans="2:14" x14ac:dyDescent="0.25">
      <c r="F15" s="21"/>
      <c r="H15" s="21">
        <f>SUM(H6:H13)</f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5:AK48"/>
  <sheetViews>
    <sheetView topLeftCell="A4" zoomScale="58" workbookViewId="0">
      <selection activeCell="T28" sqref="T28"/>
    </sheetView>
  </sheetViews>
  <sheetFormatPr defaultRowHeight="15" x14ac:dyDescent="0.25"/>
  <cols>
    <col min="4" max="4" width="19.28515625" customWidth="1"/>
    <col min="5" max="5" width="9.85546875" bestFit="1" customWidth="1"/>
  </cols>
  <sheetData>
    <row r="5" spans="1:37" x14ac:dyDescent="0.25">
      <c r="B5" s="1">
        <v>2015</v>
      </c>
      <c r="C5" s="1">
        <f>B5+1</f>
        <v>2016</v>
      </c>
      <c r="D5" s="1">
        <f t="shared" ref="D5:AJ5" si="0">C5+1</f>
        <v>2017</v>
      </c>
      <c r="E5" s="1">
        <f t="shared" si="0"/>
        <v>2018</v>
      </c>
      <c r="F5" s="1">
        <f t="shared" si="0"/>
        <v>2019</v>
      </c>
      <c r="G5" s="1">
        <f t="shared" si="0"/>
        <v>2020</v>
      </c>
      <c r="H5" s="1">
        <f t="shared" si="0"/>
        <v>2021</v>
      </c>
      <c r="I5" s="1">
        <f t="shared" si="0"/>
        <v>2022</v>
      </c>
      <c r="J5" s="1">
        <f t="shared" si="0"/>
        <v>2023</v>
      </c>
      <c r="K5" s="1">
        <f t="shared" si="0"/>
        <v>2024</v>
      </c>
      <c r="L5" s="1">
        <f t="shared" si="0"/>
        <v>2025</v>
      </c>
      <c r="M5" s="1">
        <f t="shared" si="0"/>
        <v>2026</v>
      </c>
      <c r="N5" s="1">
        <f t="shared" si="0"/>
        <v>2027</v>
      </c>
      <c r="O5" s="1">
        <f t="shared" si="0"/>
        <v>2028</v>
      </c>
      <c r="P5" s="1">
        <f t="shared" si="0"/>
        <v>2029</v>
      </c>
      <c r="Q5" s="1">
        <f t="shared" si="0"/>
        <v>2030</v>
      </c>
      <c r="R5" s="1">
        <f t="shared" si="0"/>
        <v>2031</v>
      </c>
      <c r="S5" s="1">
        <f t="shared" si="0"/>
        <v>2032</v>
      </c>
      <c r="T5" s="1">
        <f t="shared" si="0"/>
        <v>2033</v>
      </c>
      <c r="U5" s="1">
        <f t="shared" si="0"/>
        <v>2034</v>
      </c>
      <c r="V5" s="1">
        <f>U5+1</f>
        <v>2035</v>
      </c>
      <c r="W5" s="1">
        <f t="shared" si="0"/>
        <v>2036</v>
      </c>
      <c r="X5" s="1">
        <f t="shared" si="0"/>
        <v>2037</v>
      </c>
      <c r="Y5" s="1">
        <f t="shared" si="0"/>
        <v>2038</v>
      </c>
      <c r="Z5" s="1">
        <f t="shared" si="0"/>
        <v>2039</v>
      </c>
      <c r="AA5" s="1">
        <f t="shared" si="0"/>
        <v>2040</v>
      </c>
      <c r="AB5" s="1">
        <f t="shared" si="0"/>
        <v>2041</v>
      </c>
      <c r="AC5" s="1">
        <f t="shared" si="0"/>
        <v>2042</v>
      </c>
      <c r="AD5" s="1">
        <f t="shared" si="0"/>
        <v>2043</v>
      </c>
      <c r="AE5" s="1">
        <f>AD5+1</f>
        <v>2044</v>
      </c>
      <c r="AF5" s="1">
        <f t="shared" si="0"/>
        <v>2045</v>
      </c>
      <c r="AG5" s="1">
        <f t="shared" si="0"/>
        <v>2046</v>
      </c>
      <c r="AH5" s="1">
        <f t="shared" si="0"/>
        <v>2047</v>
      </c>
      <c r="AI5" s="1">
        <f t="shared" si="0"/>
        <v>2048</v>
      </c>
      <c r="AJ5" s="1">
        <f t="shared" si="0"/>
        <v>2049</v>
      </c>
      <c r="AK5" s="1">
        <f>AJ5+1</f>
        <v>2050</v>
      </c>
    </row>
    <row r="6" spans="1:37" x14ac:dyDescent="0.25">
      <c r="A6" s="1" t="s">
        <v>41</v>
      </c>
      <c r="E6">
        <v>124</v>
      </c>
      <c r="L6">
        <v>793.5</v>
      </c>
    </row>
    <row r="7" spans="1:37" x14ac:dyDescent="0.25">
      <c r="A7" s="1" t="s">
        <v>42</v>
      </c>
      <c r="C7">
        <v>96</v>
      </c>
      <c r="D7">
        <v>156</v>
      </c>
      <c r="E7">
        <v>290</v>
      </c>
      <c r="F7">
        <v>455</v>
      </c>
      <c r="G7">
        <v>640</v>
      </c>
      <c r="P7">
        <v>2224</v>
      </c>
    </row>
    <row r="8" spans="1:37" x14ac:dyDescent="0.25">
      <c r="A8" s="1" t="s">
        <v>43</v>
      </c>
      <c r="H8">
        <v>785</v>
      </c>
      <c r="I8">
        <v>1060</v>
      </c>
      <c r="J8">
        <v>1250</v>
      </c>
      <c r="K8">
        <v>1450</v>
      </c>
      <c r="L8">
        <v>1630</v>
      </c>
      <c r="M8">
        <v>1800</v>
      </c>
      <c r="N8">
        <v>1950</v>
      </c>
      <c r="O8">
        <v>2050</v>
      </c>
      <c r="P8">
        <v>2200</v>
      </c>
      <c r="Q8">
        <v>2582</v>
      </c>
    </row>
    <row r="14" spans="1:37" x14ac:dyDescent="0.25">
      <c r="E14" s="7">
        <v>44130</v>
      </c>
    </row>
    <row r="15" spans="1:37" x14ac:dyDescent="0.25">
      <c r="D15" s="1" t="s">
        <v>44</v>
      </c>
      <c r="E15" t="s">
        <v>45</v>
      </c>
    </row>
    <row r="16" spans="1:37" x14ac:dyDescent="0.25">
      <c r="E16" t="s">
        <v>46</v>
      </c>
    </row>
    <row r="17" spans="3:23" x14ac:dyDescent="0.25">
      <c r="E17" t="s">
        <v>47</v>
      </c>
    </row>
    <row r="18" spans="3:23" x14ac:dyDescent="0.25">
      <c r="E18" s="1" t="s">
        <v>48</v>
      </c>
    </row>
    <row r="19" spans="3:23" x14ac:dyDescent="0.25">
      <c r="E19" s="1" t="s">
        <v>49</v>
      </c>
    </row>
    <row r="21" spans="3:23" x14ac:dyDescent="0.25">
      <c r="E21" t="s">
        <v>50</v>
      </c>
    </row>
    <row r="22" spans="3:23" x14ac:dyDescent="0.25">
      <c r="E22" t="s">
        <v>51</v>
      </c>
      <c r="V22" s="1" t="s">
        <v>52</v>
      </c>
    </row>
    <row r="23" spans="3:23" x14ac:dyDescent="0.25">
      <c r="V23" t="s">
        <v>41</v>
      </c>
      <c r="W23" s="76" t="s">
        <v>53</v>
      </c>
    </row>
    <row r="24" spans="3:23" x14ac:dyDescent="0.25">
      <c r="E24" t="s">
        <v>54</v>
      </c>
      <c r="V24" t="s">
        <v>55</v>
      </c>
      <c r="W24" t="s">
        <v>56</v>
      </c>
    </row>
    <row r="25" spans="3:23" x14ac:dyDescent="0.25">
      <c r="E25" t="s">
        <v>57</v>
      </c>
    </row>
    <row r="26" spans="3:23" ht="15.75" thickBot="1" x14ac:dyDescent="0.3"/>
    <row r="27" spans="3:23" x14ac:dyDescent="0.25">
      <c r="C27" s="97" t="s">
        <v>58</v>
      </c>
      <c r="D27" s="98"/>
      <c r="E27" s="9" t="s">
        <v>59</v>
      </c>
      <c r="F27" s="10"/>
    </row>
    <row r="28" spans="3:23" x14ac:dyDescent="0.25">
      <c r="E28" s="11" t="s">
        <v>60</v>
      </c>
      <c r="F28" s="12"/>
    </row>
    <row r="29" spans="3:23" ht="15.75" thickBot="1" x14ac:dyDescent="0.3">
      <c r="E29" s="13" t="s">
        <v>61</v>
      </c>
      <c r="F29" s="14"/>
    </row>
    <row r="31" spans="3:23" x14ac:dyDescent="0.25">
      <c r="E31" t="s">
        <v>62</v>
      </c>
    </row>
    <row r="32" spans="3:23" x14ac:dyDescent="0.25">
      <c r="E32" t="s">
        <v>63</v>
      </c>
    </row>
    <row r="34" spans="2:28" x14ac:dyDescent="0.25">
      <c r="E34" s="1" t="s">
        <v>64</v>
      </c>
      <c r="H34" s="1" t="s">
        <v>65</v>
      </c>
    </row>
    <row r="35" spans="2:28" x14ac:dyDescent="0.25">
      <c r="E35" s="8" t="s">
        <v>66</v>
      </c>
      <c r="H35" t="s">
        <v>67</v>
      </c>
      <c r="J35" t="s">
        <v>68</v>
      </c>
    </row>
    <row r="36" spans="2:28" x14ac:dyDescent="0.25">
      <c r="J36" t="s">
        <v>69</v>
      </c>
    </row>
    <row r="39" spans="2:28" x14ac:dyDescent="0.25">
      <c r="B39" s="1" t="s">
        <v>211</v>
      </c>
    </row>
    <row r="40" spans="2:28" x14ac:dyDescent="0.25">
      <c r="C40" s="1">
        <v>2015</v>
      </c>
      <c r="D40" s="1">
        <f t="shared" ref="D40:R40" si="1">C40+1</f>
        <v>2016</v>
      </c>
      <c r="E40" s="1">
        <f t="shared" si="1"/>
        <v>2017</v>
      </c>
      <c r="F40" s="1">
        <f t="shared" si="1"/>
        <v>2018</v>
      </c>
      <c r="G40" s="1">
        <f t="shared" si="1"/>
        <v>2019</v>
      </c>
      <c r="H40" s="1">
        <f t="shared" si="1"/>
        <v>2020</v>
      </c>
      <c r="I40" s="1">
        <f t="shared" si="1"/>
        <v>2021</v>
      </c>
      <c r="J40" s="1">
        <f t="shared" si="1"/>
        <v>2022</v>
      </c>
      <c r="K40" s="1">
        <f t="shared" si="1"/>
        <v>2023</v>
      </c>
      <c r="L40" s="1">
        <f t="shared" si="1"/>
        <v>2024</v>
      </c>
      <c r="M40" s="1">
        <f t="shared" si="1"/>
        <v>2025</v>
      </c>
      <c r="N40" s="1">
        <f t="shared" si="1"/>
        <v>2026</v>
      </c>
      <c r="O40" s="1">
        <f t="shared" si="1"/>
        <v>2027</v>
      </c>
      <c r="P40" s="1">
        <f t="shared" si="1"/>
        <v>2028</v>
      </c>
      <c r="Q40" s="1">
        <f t="shared" si="1"/>
        <v>2029</v>
      </c>
      <c r="R40" s="1">
        <f t="shared" si="1"/>
        <v>2030</v>
      </c>
    </row>
    <row r="41" spans="2:28" x14ac:dyDescent="0.25">
      <c r="B41" t="s">
        <v>231</v>
      </c>
      <c r="C41">
        <v>96</v>
      </c>
      <c r="D41">
        <v>96</v>
      </c>
      <c r="E41">
        <v>156</v>
      </c>
      <c r="F41">
        <v>290</v>
      </c>
      <c r="G41">
        <v>455</v>
      </c>
      <c r="H41">
        <v>640</v>
      </c>
      <c r="I41">
        <v>785</v>
      </c>
      <c r="J41">
        <v>1060</v>
      </c>
      <c r="K41">
        <v>1250</v>
      </c>
      <c r="L41">
        <v>1450</v>
      </c>
      <c r="M41">
        <v>1630</v>
      </c>
      <c r="N41">
        <v>1800</v>
      </c>
      <c r="O41">
        <v>1950</v>
      </c>
      <c r="P41">
        <v>2050</v>
      </c>
      <c r="Q41">
        <v>2200</v>
      </c>
      <c r="R41">
        <v>2582</v>
      </c>
    </row>
    <row r="42" spans="2:28" x14ac:dyDescent="0.25">
      <c r="B42" t="s">
        <v>41</v>
      </c>
      <c r="F42">
        <v>124</v>
      </c>
      <c r="M42">
        <v>793.5</v>
      </c>
    </row>
    <row r="43" spans="2:28" x14ac:dyDescent="0.25">
      <c r="B43" t="s">
        <v>298</v>
      </c>
      <c r="H43">
        <v>725</v>
      </c>
      <c r="M43">
        <v>1000</v>
      </c>
      <c r="R43">
        <v>1500</v>
      </c>
    </row>
    <row r="44" spans="2:28" x14ac:dyDescent="0.25">
      <c r="B44" t="s">
        <v>318</v>
      </c>
      <c r="H44">
        <v>245</v>
      </c>
      <c r="I44">
        <v>343</v>
      </c>
      <c r="J44">
        <v>530</v>
      </c>
      <c r="K44">
        <v>677</v>
      </c>
      <c r="L44">
        <v>740</v>
      </c>
      <c r="M44">
        <v>1000</v>
      </c>
    </row>
    <row r="47" spans="2:28" x14ac:dyDescent="0.25">
      <c r="B47" s="1" t="s">
        <v>210</v>
      </c>
      <c r="C47" s="1">
        <v>2015</v>
      </c>
      <c r="D47" s="1">
        <f t="shared" ref="D47:AB47" si="2">C47+1</f>
        <v>2016</v>
      </c>
      <c r="E47" s="1">
        <f t="shared" si="2"/>
        <v>2017</v>
      </c>
      <c r="F47" s="1">
        <f t="shared" si="2"/>
        <v>2018</v>
      </c>
      <c r="G47" s="1">
        <f t="shared" si="2"/>
        <v>2019</v>
      </c>
      <c r="H47" s="1">
        <f t="shared" si="2"/>
        <v>2020</v>
      </c>
      <c r="I47" s="1">
        <f t="shared" si="2"/>
        <v>2021</v>
      </c>
      <c r="J47" s="1">
        <f t="shared" si="2"/>
        <v>2022</v>
      </c>
      <c r="K47" s="1">
        <f t="shared" si="2"/>
        <v>2023</v>
      </c>
      <c r="L47" s="1">
        <f t="shared" si="2"/>
        <v>2024</v>
      </c>
      <c r="M47" s="1">
        <f t="shared" si="2"/>
        <v>2025</v>
      </c>
      <c r="N47" s="1">
        <f t="shared" si="2"/>
        <v>2026</v>
      </c>
      <c r="O47" s="1">
        <f t="shared" si="2"/>
        <v>2027</v>
      </c>
      <c r="P47" s="1">
        <f t="shared" si="2"/>
        <v>2028</v>
      </c>
      <c r="Q47" s="1">
        <f t="shared" si="2"/>
        <v>2029</v>
      </c>
      <c r="R47" s="1">
        <f t="shared" si="2"/>
        <v>2030</v>
      </c>
      <c r="S47" s="1">
        <f t="shared" si="2"/>
        <v>2031</v>
      </c>
      <c r="T47" s="1">
        <f t="shared" si="2"/>
        <v>2032</v>
      </c>
      <c r="U47" s="1">
        <f t="shared" si="2"/>
        <v>2033</v>
      </c>
      <c r="V47" s="1">
        <f t="shared" si="2"/>
        <v>2034</v>
      </c>
      <c r="W47" s="1">
        <f t="shared" si="2"/>
        <v>2035</v>
      </c>
      <c r="X47" s="1">
        <f t="shared" si="2"/>
        <v>2036</v>
      </c>
      <c r="Y47" s="1">
        <f t="shared" si="2"/>
        <v>2037</v>
      </c>
      <c r="Z47" s="1">
        <f t="shared" si="2"/>
        <v>2038</v>
      </c>
      <c r="AA47" s="1">
        <f t="shared" si="2"/>
        <v>2039</v>
      </c>
      <c r="AB47" s="1">
        <f t="shared" si="2"/>
        <v>2040</v>
      </c>
    </row>
    <row r="48" spans="2:28" x14ac:dyDescent="0.25">
      <c r="C48">
        <f>4500+4000+6000+7000+6000+7000+110+300+1000+4000+200+200+20000+150+1000+5000+30000+10000</f>
        <v>106460</v>
      </c>
      <c r="D48">
        <f t="shared" ref="D48:AB48" si="3">4500+4000+6000+7000+6000+7000+110+300+1000+4000+200+200+20000+150+1000+5000+30000+10000</f>
        <v>106460</v>
      </c>
      <c r="E48">
        <f t="shared" si="3"/>
        <v>106460</v>
      </c>
      <c r="F48">
        <f t="shared" si="3"/>
        <v>106460</v>
      </c>
      <c r="G48">
        <f t="shared" si="3"/>
        <v>106460</v>
      </c>
      <c r="H48">
        <f t="shared" si="3"/>
        <v>106460</v>
      </c>
      <c r="I48">
        <f t="shared" si="3"/>
        <v>106460</v>
      </c>
      <c r="J48">
        <f t="shared" si="3"/>
        <v>106460</v>
      </c>
      <c r="K48">
        <f t="shared" si="3"/>
        <v>106460</v>
      </c>
      <c r="L48">
        <f t="shared" si="3"/>
        <v>106460</v>
      </c>
      <c r="M48">
        <f t="shared" si="3"/>
        <v>106460</v>
      </c>
      <c r="N48">
        <f t="shared" si="3"/>
        <v>106460</v>
      </c>
      <c r="O48">
        <f t="shared" si="3"/>
        <v>106460</v>
      </c>
      <c r="P48">
        <f t="shared" si="3"/>
        <v>106460</v>
      </c>
      <c r="Q48">
        <f t="shared" si="3"/>
        <v>106460</v>
      </c>
      <c r="R48">
        <f t="shared" si="3"/>
        <v>106460</v>
      </c>
      <c r="S48">
        <f t="shared" si="3"/>
        <v>106460</v>
      </c>
      <c r="T48">
        <f t="shared" si="3"/>
        <v>106460</v>
      </c>
      <c r="U48">
        <f t="shared" si="3"/>
        <v>106460</v>
      </c>
      <c r="V48">
        <f t="shared" si="3"/>
        <v>106460</v>
      </c>
      <c r="W48">
        <f t="shared" si="3"/>
        <v>106460</v>
      </c>
      <c r="X48">
        <f t="shared" si="3"/>
        <v>106460</v>
      </c>
      <c r="Y48">
        <f t="shared" si="3"/>
        <v>106460</v>
      </c>
      <c r="Z48">
        <f t="shared" si="3"/>
        <v>106460</v>
      </c>
      <c r="AA48">
        <f t="shared" si="3"/>
        <v>106460</v>
      </c>
      <c r="AB48">
        <f t="shared" si="3"/>
        <v>106460</v>
      </c>
    </row>
  </sheetData>
  <mergeCells count="1">
    <mergeCell ref="C27:D27"/>
  </mergeCells>
  <hyperlinks>
    <hyperlink ref="W23" r:id="rId1" xr:uid="{204D9523-B810-41E6-BBAC-B631BDCBB3DA}"/>
  </hyperlinks>
  <pageMargins left="0.7" right="0.7" top="0.75" bottom="0.75" header="0.3" footer="0.3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DS73"/>
  <sheetViews>
    <sheetView topLeftCell="CT1" zoomScale="85" zoomScaleNormal="85" workbookViewId="0">
      <selection activeCell="CX23" sqref="CX23"/>
    </sheetView>
  </sheetViews>
  <sheetFormatPr defaultRowHeight="15" x14ac:dyDescent="0.25"/>
  <cols>
    <col min="99" max="99" width="11.28515625" bestFit="1" customWidth="1"/>
    <col min="100" max="101" width="10.28515625" bestFit="1" customWidth="1"/>
    <col min="103" max="103" width="11.28515625" bestFit="1" customWidth="1"/>
  </cols>
  <sheetData>
    <row r="2" spans="1:123" x14ac:dyDescent="0.25">
      <c r="A2" t="s">
        <v>202</v>
      </c>
    </row>
    <row r="3" spans="1:123" x14ac:dyDescent="0.25">
      <c r="C3" s="67">
        <v>1900</v>
      </c>
      <c r="D3" s="67">
        <v>1901</v>
      </c>
      <c r="E3" s="67">
        <v>1902</v>
      </c>
      <c r="F3" s="67">
        <v>1903</v>
      </c>
      <c r="G3" s="67">
        <v>1904</v>
      </c>
      <c r="H3" s="67">
        <v>1905</v>
      </c>
      <c r="I3" s="67">
        <v>1906</v>
      </c>
      <c r="J3" s="67">
        <v>1907</v>
      </c>
      <c r="K3" s="67">
        <v>1908</v>
      </c>
      <c r="L3" s="67">
        <v>1909</v>
      </c>
      <c r="M3" s="67">
        <v>1910</v>
      </c>
      <c r="N3" s="67">
        <v>1911</v>
      </c>
      <c r="O3" s="67">
        <v>1912</v>
      </c>
      <c r="P3" s="67">
        <v>1913</v>
      </c>
      <c r="Q3" s="67">
        <v>1914</v>
      </c>
      <c r="R3" s="67">
        <v>1915</v>
      </c>
      <c r="S3" s="67">
        <v>1916</v>
      </c>
      <c r="T3" s="67">
        <v>1917</v>
      </c>
      <c r="U3" s="67">
        <v>1918</v>
      </c>
      <c r="V3" s="67">
        <v>1919</v>
      </c>
      <c r="W3" s="67">
        <v>1920</v>
      </c>
      <c r="X3" s="67">
        <v>1921</v>
      </c>
      <c r="Y3" s="67">
        <v>1922</v>
      </c>
      <c r="Z3" s="67">
        <v>1923</v>
      </c>
      <c r="AA3" s="67">
        <v>1924</v>
      </c>
      <c r="AB3" s="67">
        <v>1925</v>
      </c>
      <c r="AC3" s="67">
        <v>1926</v>
      </c>
      <c r="AD3" s="67">
        <v>1927</v>
      </c>
      <c r="AE3" s="67">
        <v>1928</v>
      </c>
      <c r="AF3" s="67">
        <v>1929</v>
      </c>
      <c r="AG3" s="67">
        <v>1930</v>
      </c>
      <c r="AH3" s="67">
        <v>1931</v>
      </c>
      <c r="AI3" s="67">
        <v>1932</v>
      </c>
      <c r="AJ3" s="67">
        <v>1933</v>
      </c>
      <c r="AK3" s="67">
        <v>1934</v>
      </c>
      <c r="AL3" s="67">
        <v>1935</v>
      </c>
      <c r="AM3" s="67">
        <v>1936</v>
      </c>
      <c r="AN3" s="67">
        <v>1937</v>
      </c>
      <c r="AO3" s="67">
        <v>1938</v>
      </c>
      <c r="AP3" s="67">
        <v>1939</v>
      </c>
      <c r="AQ3" s="67">
        <v>1940</v>
      </c>
      <c r="AR3" s="67">
        <v>1941</v>
      </c>
      <c r="AS3" s="67">
        <v>1942</v>
      </c>
      <c r="AT3" s="67">
        <v>1943</v>
      </c>
      <c r="AU3" s="67">
        <v>1944</v>
      </c>
      <c r="AV3" s="67">
        <v>1945</v>
      </c>
      <c r="AW3" s="67">
        <v>1946</v>
      </c>
      <c r="AX3" s="67">
        <v>1947</v>
      </c>
      <c r="AY3" s="67">
        <v>1948</v>
      </c>
      <c r="AZ3" s="67">
        <v>1949</v>
      </c>
      <c r="BA3" s="67">
        <v>1950</v>
      </c>
      <c r="BB3" s="67">
        <v>1951</v>
      </c>
      <c r="BC3" s="67">
        <v>1952</v>
      </c>
      <c r="BD3" s="67">
        <v>1953</v>
      </c>
      <c r="BE3" s="67">
        <v>1954</v>
      </c>
      <c r="BF3" s="67">
        <v>1955</v>
      </c>
      <c r="BG3" s="67">
        <v>1956</v>
      </c>
      <c r="BH3" s="67">
        <v>1957</v>
      </c>
      <c r="BI3" s="67">
        <v>1958</v>
      </c>
      <c r="BJ3" s="67">
        <v>1959</v>
      </c>
      <c r="BK3" s="67">
        <v>1960</v>
      </c>
      <c r="BL3" s="67">
        <v>1961</v>
      </c>
      <c r="BM3" s="67">
        <v>1962</v>
      </c>
      <c r="BN3" s="67">
        <v>1963</v>
      </c>
      <c r="BO3" s="67">
        <v>1964</v>
      </c>
      <c r="BP3" s="67">
        <v>1965</v>
      </c>
      <c r="BQ3" s="67">
        <v>1966</v>
      </c>
      <c r="BR3" s="67">
        <v>1967</v>
      </c>
      <c r="BS3" s="67">
        <v>1968</v>
      </c>
      <c r="BT3" s="67">
        <v>1969</v>
      </c>
      <c r="BU3" s="67">
        <v>1970</v>
      </c>
      <c r="BV3" s="67">
        <v>1971</v>
      </c>
      <c r="BW3" s="67">
        <v>1972</v>
      </c>
      <c r="BX3" s="67">
        <v>1973</v>
      </c>
      <c r="BY3" s="67">
        <v>1974</v>
      </c>
      <c r="BZ3" s="67">
        <v>1975</v>
      </c>
      <c r="CA3" s="67">
        <v>1976</v>
      </c>
      <c r="CB3" s="67">
        <v>1977</v>
      </c>
      <c r="CC3" s="67">
        <v>1978</v>
      </c>
      <c r="CD3" s="67">
        <v>1979</v>
      </c>
      <c r="CE3" s="67">
        <v>1980</v>
      </c>
      <c r="CF3" s="67">
        <v>1981</v>
      </c>
      <c r="CG3" s="67">
        <v>1982</v>
      </c>
      <c r="CH3" s="67">
        <v>1983</v>
      </c>
      <c r="CI3" s="67">
        <v>1984</v>
      </c>
      <c r="CJ3" s="67">
        <v>1985</v>
      </c>
      <c r="CK3" s="67">
        <v>1986</v>
      </c>
      <c r="CL3" s="67">
        <v>1987</v>
      </c>
      <c r="CM3" s="67">
        <v>1988</v>
      </c>
      <c r="CN3" s="67">
        <v>1989</v>
      </c>
      <c r="CO3" s="67">
        <v>1990</v>
      </c>
      <c r="CP3" s="67">
        <v>1991</v>
      </c>
      <c r="CQ3" s="67">
        <v>1992</v>
      </c>
      <c r="CR3" s="67">
        <v>1993</v>
      </c>
      <c r="CS3" s="67">
        <v>1994</v>
      </c>
      <c r="CT3" s="67">
        <v>1995</v>
      </c>
      <c r="CU3" s="67">
        <v>1996</v>
      </c>
      <c r="CV3" s="67">
        <v>1997</v>
      </c>
      <c r="CW3" s="67">
        <v>1998</v>
      </c>
      <c r="CX3" s="67">
        <v>1999</v>
      </c>
      <c r="CY3" s="67">
        <v>2000</v>
      </c>
      <c r="CZ3" s="67">
        <v>2001</v>
      </c>
      <c r="DA3" s="67">
        <v>2002</v>
      </c>
      <c r="DB3" s="67">
        <v>2003</v>
      </c>
      <c r="DC3" s="67">
        <v>2004</v>
      </c>
      <c r="DD3" s="67">
        <v>2005</v>
      </c>
      <c r="DE3" s="67">
        <v>2006</v>
      </c>
      <c r="DF3" s="67">
        <v>2007</v>
      </c>
      <c r="DG3" s="67">
        <v>2008</v>
      </c>
      <c r="DH3" s="67">
        <v>2009</v>
      </c>
      <c r="DI3" s="67">
        <v>2010</v>
      </c>
      <c r="DJ3" s="67">
        <v>2011</v>
      </c>
      <c r="DK3" s="67">
        <v>2012</v>
      </c>
      <c r="DL3" s="67">
        <v>2013</v>
      </c>
      <c r="DM3" s="67">
        <v>2014</v>
      </c>
      <c r="DN3" s="67">
        <v>2015</v>
      </c>
      <c r="DS3" t="s">
        <v>342</v>
      </c>
    </row>
    <row r="4" spans="1:123" x14ac:dyDescent="0.25">
      <c r="B4" t="s">
        <v>199</v>
      </c>
      <c r="C4" s="68" t="s">
        <v>200</v>
      </c>
      <c r="D4" s="68" t="s">
        <v>200</v>
      </c>
      <c r="E4" s="68" t="s">
        <v>200</v>
      </c>
      <c r="F4" s="68" t="s">
        <v>200</v>
      </c>
      <c r="G4" s="68" t="s">
        <v>200</v>
      </c>
      <c r="H4" s="68" t="s">
        <v>200</v>
      </c>
      <c r="I4" s="68" t="s">
        <v>200</v>
      </c>
      <c r="J4" s="68" t="s">
        <v>200</v>
      </c>
      <c r="K4" s="68" t="s">
        <v>200</v>
      </c>
      <c r="L4" s="68" t="s">
        <v>200</v>
      </c>
      <c r="M4" s="68" t="s">
        <v>200</v>
      </c>
      <c r="N4" s="68" t="s">
        <v>200</v>
      </c>
      <c r="O4" s="68" t="s">
        <v>200</v>
      </c>
      <c r="P4" s="68" t="s">
        <v>200</v>
      </c>
      <c r="Q4" s="68" t="s">
        <v>200</v>
      </c>
      <c r="R4" s="68" t="s">
        <v>200</v>
      </c>
      <c r="S4" s="68" t="s">
        <v>200</v>
      </c>
      <c r="T4" s="68" t="s">
        <v>200</v>
      </c>
      <c r="U4" s="68" t="s">
        <v>200</v>
      </c>
      <c r="V4" s="68" t="s">
        <v>200</v>
      </c>
      <c r="W4" s="68" t="s">
        <v>200</v>
      </c>
      <c r="X4" s="68" t="s">
        <v>200</v>
      </c>
      <c r="Y4" s="68" t="s">
        <v>200</v>
      </c>
      <c r="Z4" s="68" t="s">
        <v>200</v>
      </c>
      <c r="AA4" s="68" t="s">
        <v>200</v>
      </c>
      <c r="AB4" s="68" t="s">
        <v>200</v>
      </c>
      <c r="AC4" s="68">
        <v>62400000</v>
      </c>
      <c r="AD4" s="68">
        <v>67800000</v>
      </c>
      <c r="AE4" s="68">
        <v>72200000</v>
      </c>
      <c r="AF4" s="68">
        <v>74900000</v>
      </c>
      <c r="AG4" s="68">
        <v>72300000</v>
      </c>
      <c r="AH4" s="68">
        <v>62100000</v>
      </c>
      <c r="AI4" s="68">
        <v>49300000</v>
      </c>
      <c r="AJ4" s="68">
        <v>48200000</v>
      </c>
      <c r="AK4" s="68">
        <v>58300000</v>
      </c>
      <c r="AL4" s="68">
        <v>65400000</v>
      </c>
      <c r="AM4" s="68">
        <v>62800000</v>
      </c>
      <c r="AN4" s="68">
        <v>82700000</v>
      </c>
      <c r="AO4" s="68">
        <v>85900000</v>
      </c>
      <c r="AP4" s="68">
        <v>93000000</v>
      </c>
      <c r="AQ4" s="68">
        <v>81000000</v>
      </c>
      <c r="AR4" s="68">
        <v>88000000</v>
      </c>
      <c r="AS4" s="68">
        <v>80900000</v>
      </c>
      <c r="AT4" s="68">
        <v>71200000</v>
      </c>
      <c r="AU4" s="68">
        <v>54900000</v>
      </c>
      <c r="AV4" s="68">
        <v>49500000</v>
      </c>
      <c r="AW4" s="68">
        <v>72500000</v>
      </c>
      <c r="AX4" s="68">
        <v>85800000</v>
      </c>
      <c r="AY4" s="68">
        <v>102000000</v>
      </c>
      <c r="AZ4" s="68">
        <v>115000000</v>
      </c>
      <c r="BA4" s="68">
        <v>133000000</v>
      </c>
      <c r="BB4" s="68">
        <v>149000000</v>
      </c>
      <c r="BC4" s="68">
        <v>161000000</v>
      </c>
      <c r="BD4" s="68">
        <v>178000000</v>
      </c>
      <c r="BE4" s="68">
        <v>194900000</v>
      </c>
      <c r="BF4" s="68">
        <v>217300000</v>
      </c>
      <c r="BG4" s="68">
        <v>235400000</v>
      </c>
      <c r="BH4" s="68">
        <v>246900000</v>
      </c>
      <c r="BI4" s="68">
        <v>262500000</v>
      </c>
      <c r="BJ4" s="68">
        <v>294300000</v>
      </c>
      <c r="BK4" s="68">
        <v>316500000</v>
      </c>
      <c r="BL4" s="68">
        <v>333200000</v>
      </c>
      <c r="BM4" s="68">
        <v>358500000</v>
      </c>
      <c r="BN4" s="68">
        <v>378000000</v>
      </c>
      <c r="BO4" s="68">
        <v>415600000</v>
      </c>
      <c r="BP4" s="68">
        <v>433400000</v>
      </c>
      <c r="BQ4" s="68">
        <v>464200000</v>
      </c>
      <c r="BR4" s="68">
        <v>479800000</v>
      </c>
      <c r="BS4" s="68">
        <v>515200000</v>
      </c>
      <c r="BT4" s="68">
        <v>543100000</v>
      </c>
      <c r="BU4" s="68">
        <v>571800000</v>
      </c>
      <c r="BV4" s="68">
        <v>590000000</v>
      </c>
      <c r="BW4" s="68">
        <v>661000000</v>
      </c>
      <c r="BX4" s="68">
        <v>702000000</v>
      </c>
      <c r="BY4" s="68">
        <v>703200000</v>
      </c>
      <c r="BZ4" s="68">
        <v>702200000</v>
      </c>
      <c r="CA4" s="68">
        <v>735400000</v>
      </c>
      <c r="CB4" s="68">
        <v>797100000</v>
      </c>
      <c r="CC4" s="68">
        <v>853000000</v>
      </c>
      <c r="CD4" s="68">
        <v>872400000</v>
      </c>
      <c r="CE4" s="68">
        <v>883100000</v>
      </c>
      <c r="CF4" s="68">
        <v>886700000</v>
      </c>
      <c r="CG4" s="68">
        <v>887400000</v>
      </c>
      <c r="CH4" s="68">
        <v>916600000</v>
      </c>
      <c r="CI4" s="68">
        <v>941100000</v>
      </c>
      <c r="CJ4" s="68">
        <v>959400000</v>
      </c>
      <c r="CK4" s="68">
        <v>1008000000</v>
      </c>
      <c r="CL4" s="68">
        <v>1053000000</v>
      </c>
      <c r="CM4" s="69">
        <v>1118000000</v>
      </c>
      <c r="CN4" s="69">
        <v>1149000000</v>
      </c>
      <c r="CO4" s="69">
        <v>1160000000</v>
      </c>
      <c r="CP4" s="69">
        <v>1182000000</v>
      </c>
      <c r="CQ4" s="69">
        <v>1231000000</v>
      </c>
      <c r="CR4" s="68">
        <v>1291000000</v>
      </c>
      <c r="CS4" s="68">
        <v>1370000000</v>
      </c>
      <c r="CT4" s="68">
        <v>1445000000</v>
      </c>
      <c r="CU4" s="68">
        <v>1493000000</v>
      </c>
      <c r="CV4" s="68">
        <v>1547000000</v>
      </c>
      <c r="CW4" s="68">
        <v>1540000000</v>
      </c>
      <c r="CX4" s="68">
        <v>1600000000</v>
      </c>
      <c r="CY4" s="68">
        <v>1660000000</v>
      </c>
      <c r="CZ4" s="68">
        <v>1750000000</v>
      </c>
      <c r="DA4" s="68">
        <v>1850000000</v>
      </c>
      <c r="DB4" s="68">
        <v>2020000000</v>
      </c>
      <c r="DC4" s="68">
        <v>2190000000</v>
      </c>
      <c r="DD4" s="68">
        <v>2350000000</v>
      </c>
      <c r="DE4" s="68">
        <v>2620000000</v>
      </c>
      <c r="DF4" s="68">
        <v>2810000000</v>
      </c>
      <c r="DG4" s="68">
        <v>2850000000</v>
      </c>
      <c r="DH4" s="68">
        <v>3050000000</v>
      </c>
      <c r="DI4" s="68">
        <v>3290000000</v>
      </c>
      <c r="DJ4" s="68">
        <v>3630000000</v>
      </c>
      <c r="DK4" s="68">
        <v>3820000000</v>
      </c>
      <c r="DL4" s="68">
        <v>4070000000</v>
      </c>
      <c r="DM4" s="68">
        <v>4180000000</v>
      </c>
      <c r="DN4" s="68">
        <v>4060000000</v>
      </c>
      <c r="DS4" t="s">
        <v>323</v>
      </c>
    </row>
    <row r="5" spans="1:123" x14ac:dyDescent="0.25">
      <c r="B5" t="s">
        <v>201</v>
      </c>
      <c r="C5" s="70">
        <v>6800</v>
      </c>
      <c r="D5" s="70">
        <v>6800</v>
      </c>
      <c r="E5" s="70">
        <v>7900</v>
      </c>
      <c r="F5" s="70">
        <v>8500</v>
      </c>
      <c r="G5" s="70">
        <v>10000</v>
      </c>
      <c r="H5" s="70">
        <v>13000</v>
      </c>
      <c r="I5" s="70">
        <v>17000</v>
      </c>
      <c r="J5" s="70">
        <v>22000</v>
      </c>
      <c r="K5" s="70">
        <v>17000</v>
      </c>
      <c r="L5" s="70">
        <v>30000</v>
      </c>
      <c r="M5" s="70">
        <v>45000</v>
      </c>
      <c r="N5" s="70">
        <v>46000</v>
      </c>
      <c r="O5" s="70">
        <v>58000</v>
      </c>
      <c r="P5" s="70">
        <v>65000</v>
      </c>
      <c r="Q5" s="70">
        <v>69000</v>
      </c>
      <c r="R5" s="70">
        <v>78000</v>
      </c>
      <c r="S5" s="70">
        <v>106000</v>
      </c>
      <c r="T5" s="70">
        <v>123000</v>
      </c>
      <c r="U5" s="70">
        <v>128000</v>
      </c>
      <c r="V5" s="70">
        <v>121000</v>
      </c>
      <c r="W5" s="70">
        <v>125000</v>
      </c>
      <c r="X5" s="70">
        <v>70000</v>
      </c>
      <c r="Y5" s="70">
        <v>87000</v>
      </c>
      <c r="Z5" s="70">
        <v>141000</v>
      </c>
      <c r="AA5" s="70">
        <v>168000</v>
      </c>
      <c r="AB5" s="70">
        <v>178000</v>
      </c>
      <c r="AC5" s="70">
        <v>195000</v>
      </c>
      <c r="AD5" s="70">
        <v>220000</v>
      </c>
      <c r="AE5" s="70">
        <v>258000</v>
      </c>
      <c r="AF5" s="70">
        <v>280000</v>
      </c>
      <c r="AG5" s="70">
        <v>272000</v>
      </c>
      <c r="AH5" s="70">
        <v>220000</v>
      </c>
      <c r="AI5" s="70">
        <v>153000</v>
      </c>
      <c r="AJ5" s="70">
        <v>142000</v>
      </c>
      <c r="AK5" s="70">
        <v>170000</v>
      </c>
      <c r="AL5" s="70">
        <v>259000</v>
      </c>
      <c r="AM5" s="70">
        <v>360000</v>
      </c>
      <c r="AN5" s="70">
        <v>482000</v>
      </c>
      <c r="AO5" s="70">
        <v>579000</v>
      </c>
      <c r="AP5" s="70">
        <v>720000</v>
      </c>
      <c r="AQ5" s="70">
        <v>787000</v>
      </c>
      <c r="AR5" s="70">
        <v>1040000</v>
      </c>
      <c r="AS5" s="70">
        <v>1400000</v>
      </c>
      <c r="AT5" s="70">
        <v>1950000</v>
      </c>
      <c r="AU5" s="70">
        <v>1690000</v>
      </c>
      <c r="AV5" s="70">
        <v>870000</v>
      </c>
      <c r="AW5" s="70">
        <v>790000</v>
      </c>
      <c r="AX5" s="70">
        <v>1080000</v>
      </c>
      <c r="AY5" s="70">
        <v>1270000</v>
      </c>
      <c r="AZ5" s="70">
        <v>1310000</v>
      </c>
      <c r="BA5" s="70">
        <v>1490000</v>
      </c>
      <c r="BB5" s="70">
        <v>1800000</v>
      </c>
      <c r="BC5" s="70">
        <v>2060000</v>
      </c>
      <c r="BD5" s="70">
        <v>2470000</v>
      </c>
      <c r="BE5" s="70">
        <v>2810000</v>
      </c>
      <c r="BF5" s="70">
        <v>3140000</v>
      </c>
      <c r="BG5" s="70">
        <v>3370000</v>
      </c>
      <c r="BH5" s="70">
        <v>3370000</v>
      </c>
      <c r="BI5" s="70">
        <v>3510000</v>
      </c>
      <c r="BJ5" s="70">
        <v>4060000</v>
      </c>
      <c r="BK5" s="70">
        <v>4490000</v>
      </c>
      <c r="BL5" s="70">
        <v>4700000</v>
      </c>
      <c r="BM5" s="70">
        <v>5060000</v>
      </c>
      <c r="BN5" s="70">
        <v>5320000</v>
      </c>
      <c r="BO5" s="70">
        <v>5940000</v>
      </c>
      <c r="BP5" s="70">
        <v>6310000</v>
      </c>
      <c r="BQ5" s="70">
        <v>6880000</v>
      </c>
      <c r="BR5" s="70">
        <v>7570000</v>
      </c>
      <c r="BS5" s="70">
        <v>8020000</v>
      </c>
      <c r="BT5" s="70">
        <v>8970000</v>
      </c>
      <c r="BU5" s="70">
        <v>9650000</v>
      </c>
      <c r="BV5" s="70">
        <v>10300000</v>
      </c>
      <c r="BW5" s="70">
        <v>11000000</v>
      </c>
      <c r="BX5" s="70">
        <v>12100000</v>
      </c>
      <c r="BY5" s="70">
        <v>13200000</v>
      </c>
      <c r="BZ5" s="70">
        <v>12100000</v>
      </c>
      <c r="CA5" s="70">
        <v>12600000</v>
      </c>
      <c r="CB5" s="70">
        <v>13800000</v>
      </c>
      <c r="CC5" s="70">
        <v>14100000</v>
      </c>
      <c r="CD5" s="70">
        <v>14600000</v>
      </c>
      <c r="CE5" s="70">
        <v>15400000</v>
      </c>
      <c r="CF5" s="70">
        <v>15100000</v>
      </c>
      <c r="CG5" s="70">
        <v>13400000</v>
      </c>
      <c r="CH5" s="70">
        <v>13900000</v>
      </c>
      <c r="CI5" s="70">
        <v>15700000</v>
      </c>
      <c r="CJ5" s="70">
        <v>15400000</v>
      </c>
      <c r="CK5" s="70">
        <v>15400000</v>
      </c>
      <c r="CL5" s="70">
        <v>16500000</v>
      </c>
      <c r="CM5" s="70">
        <v>18500000</v>
      </c>
      <c r="CN5" s="70">
        <v>19000000</v>
      </c>
      <c r="CO5" s="70">
        <v>19300000</v>
      </c>
      <c r="CP5" s="70">
        <v>19700000</v>
      </c>
      <c r="CQ5" s="70">
        <v>19500000</v>
      </c>
      <c r="CR5" s="70">
        <v>19800000</v>
      </c>
      <c r="CS5" s="70">
        <v>19200000</v>
      </c>
      <c r="CT5" s="70">
        <v>19700000</v>
      </c>
      <c r="CU5" s="70">
        <v>20800000</v>
      </c>
      <c r="CV5" s="70">
        <v>21700000</v>
      </c>
      <c r="CW5" s="70">
        <v>22600000</v>
      </c>
      <c r="CX5" s="70">
        <v>23600000</v>
      </c>
      <c r="CY5" s="70">
        <v>24300000</v>
      </c>
      <c r="CZ5" s="71">
        <v>24300000</v>
      </c>
      <c r="DA5" s="71">
        <v>26100000</v>
      </c>
      <c r="DB5" s="72">
        <v>28000000</v>
      </c>
      <c r="DC5" s="72">
        <v>29900000</v>
      </c>
      <c r="DD5" s="72">
        <v>31900000</v>
      </c>
      <c r="DE5" s="72">
        <v>33900000</v>
      </c>
      <c r="DF5" s="72">
        <v>37900000</v>
      </c>
      <c r="DG5" s="72">
        <v>39700000</v>
      </c>
      <c r="DH5" s="72">
        <v>37200000</v>
      </c>
      <c r="DI5" s="72">
        <v>41800000</v>
      </c>
      <c r="DJ5" s="72">
        <v>46800000</v>
      </c>
      <c r="DK5" s="72">
        <v>49200000</v>
      </c>
      <c r="DL5" s="72">
        <v>51900000</v>
      </c>
      <c r="DM5" s="72">
        <v>54000000</v>
      </c>
      <c r="DN5" s="72">
        <v>57500000</v>
      </c>
      <c r="DS5" t="s">
        <v>324</v>
      </c>
    </row>
    <row r="6" spans="1:123" x14ac:dyDescent="0.25">
      <c r="B6" t="s">
        <v>317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3">
        <v>37121000</v>
      </c>
      <c r="CF6" s="73">
        <v>35604000</v>
      </c>
      <c r="CG6" s="73">
        <v>37160000</v>
      </c>
      <c r="CH6" s="73">
        <v>40021000</v>
      </c>
      <c r="CI6" s="73">
        <v>43375000</v>
      </c>
      <c r="CJ6" s="73">
        <v>46794000</v>
      </c>
      <c r="CK6" s="73">
        <v>52208000</v>
      </c>
      <c r="CL6" s="73">
        <v>56280000</v>
      </c>
      <c r="CM6" s="73">
        <v>59430000</v>
      </c>
      <c r="CN6" s="73">
        <v>61587000</v>
      </c>
      <c r="CO6" s="73">
        <v>66350000</v>
      </c>
      <c r="CP6" s="73">
        <v>71000000</v>
      </c>
      <c r="CQ6" s="73">
        <v>80940000</v>
      </c>
      <c r="CR6" s="73">
        <v>89560000</v>
      </c>
      <c r="CS6" s="73">
        <v>92610000</v>
      </c>
      <c r="CT6" s="73">
        <v>95360000</v>
      </c>
      <c r="CU6" s="73">
        <v>101237000</v>
      </c>
      <c r="CV6" s="73">
        <v>180911000</v>
      </c>
      <c r="CW6" s="73">
        <v>114588000</v>
      </c>
      <c r="CX6" s="73">
        <v>123954000</v>
      </c>
      <c r="CY6" s="73">
        <v>128500000</v>
      </c>
      <c r="CZ6" s="73">
        <v>151634000</v>
      </c>
      <c r="DA6" s="73">
        <v>182249000</v>
      </c>
      <c r="DB6" s="73">
        <v>222336000</v>
      </c>
      <c r="DC6" s="73">
        <v>272798000</v>
      </c>
      <c r="DD6" s="73">
        <v>355790000</v>
      </c>
      <c r="DE6" s="73">
        <v>421024000</v>
      </c>
      <c r="DF6" s="73">
        <v>489712000</v>
      </c>
      <c r="DG6" s="73">
        <v>512339000</v>
      </c>
      <c r="DH6" s="73">
        <v>577070000</v>
      </c>
      <c r="DI6" s="73">
        <v>638743000</v>
      </c>
      <c r="DJ6" s="73">
        <v>701968000</v>
      </c>
      <c r="DK6" s="73">
        <v>731040000</v>
      </c>
      <c r="DL6" s="73">
        <v>821990000</v>
      </c>
      <c r="DM6" s="73">
        <v>822750000</v>
      </c>
      <c r="DN6" s="73">
        <v>803825000</v>
      </c>
      <c r="DS6" t="s">
        <v>325</v>
      </c>
    </row>
    <row r="7" spans="1:123" x14ac:dyDescent="0.25"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U7">
        <v>1418000000</v>
      </c>
      <c r="CV7">
        <v>1612000000</v>
      </c>
      <c r="CW7">
        <v>1858000000</v>
      </c>
      <c r="CX7">
        <v>2270000000</v>
      </c>
      <c r="CY7">
        <v>2694000000</v>
      </c>
      <c r="CZ7">
        <v>2562000000</v>
      </c>
      <c r="DA7">
        <v>2648000000</v>
      </c>
      <c r="DB7">
        <v>3378000000</v>
      </c>
      <c r="DC7">
        <v>3780000000</v>
      </c>
      <c r="DD7">
        <v>4370000000</v>
      </c>
      <c r="DE7">
        <v>4788000000</v>
      </c>
      <c r="DF7">
        <v>5424000000</v>
      </c>
      <c r="DG7">
        <v>5816000000</v>
      </c>
      <c r="DH7">
        <v>6166000000</v>
      </c>
      <c r="DI7">
        <v>7018000000</v>
      </c>
      <c r="DJ7">
        <v>7308000000</v>
      </c>
      <c r="DK7">
        <v>7022000000</v>
      </c>
      <c r="DL7">
        <v>6330000000</v>
      </c>
      <c r="DM7">
        <v>6274000000</v>
      </c>
      <c r="DN7">
        <v>5754000000</v>
      </c>
      <c r="DS7" t="s">
        <v>326</v>
      </c>
    </row>
    <row r="8" spans="1:123" x14ac:dyDescent="0.25"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DF8">
        <v>24464000</v>
      </c>
      <c r="DG8">
        <v>27980000</v>
      </c>
      <c r="DH8">
        <v>34476000</v>
      </c>
      <c r="DI8">
        <v>59330000</v>
      </c>
      <c r="DJ8">
        <v>94400000</v>
      </c>
      <c r="DK8">
        <v>136022000</v>
      </c>
      <c r="DL8">
        <v>193944000</v>
      </c>
      <c r="DM8">
        <v>248948000</v>
      </c>
      <c r="DN8">
        <v>284780000</v>
      </c>
      <c r="DS8" t="s">
        <v>327</v>
      </c>
    </row>
    <row r="9" spans="1:123" x14ac:dyDescent="0.25"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Y9">
        <v>273056000</v>
      </c>
      <c r="CZ9">
        <v>69324000</v>
      </c>
      <c r="DA9">
        <v>96248000</v>
      </c>
      <c r="DB9">
        <v>119992000</v>
      </c>
      <c r="DC9">
        <v>230656000</v>
      </c>
      <c r="DD9">
        <v>294468000</v>
      </c>
      <c r="DE9">
        <v>328176000</v>
      </c>
      <c r="DF9">
        <v>534876000</v>
      </c>
      <c r="DG9">
        <v>1420612000</v>
      </c>
      <c r="DH9">
        <v>1547812000</v>
      </c>
      <c r="DI9">
        <v>3636012000</v>
      </c>
      <c r="DJ9">
        <v>6388196000</v>
      </c>
      <c r="DK9">
        <v>6367420000</v>
      </c>
      <c r="DL9">
        <v>8130624000</v>
      </c>
      <c r="DM9">
        <v>8381420000</v>
      </c>
      <c r="DN9">
        <v>10792708000</v>
      </c>
      <c r="DS9" t="s">
        <v>328</v>
      </c>
    </row>
    <row r="10" spans="1:123" x14ac:dyDescent="0.25">
      <c r="B10" t="s">
        <v>320</v>
      </c>
      <c r="CY10" s="73">
        <f>CY21*1000</f>
        <v>1492108000</v>
      </c>
      <c r="CZ10" s="73">
        <f t="shared" ref="CZ10:DN10" si="0">CZ21*1000</f>
        <v>1512216000</v>
      </c>
      <c r="DA10" s="73">
        <f t="shared" si="0"/>
        <v>1532333000</v>
      </c>
      <c r="DB10" s="73">
        <f t="shared" si="0"/>
        <v>1542466000</v>
      </c>
      <c r="DC10" s="73">
        <f t="shared" si="0"/>
        <v>1572730000</v>
      </c>
      <c r="DD10" s="73">
        <f t="shared" si="0"/>
        <v>1592960000</v>
      </c>
      <c r="DE10" s="73">
        <f t="shared" si="0"/>
        <v>1613420000</v>
      </c>
      <c r="DF10" s="73">
        <f t="shared" si="0"/>
        <v>1643720000</v>
      </c>
      <c r="DG10" s="73">
        <f t="shared" si="0"/>
        <v>1663860000</v>
      </c>
      <c r="DH10" s="73">
        <f t="shared" si="0"/>
        <v>1704170000</v>
      </c>
      <c r="DI10" s="73">
        <f t="shared" si="0"/>
        <v>1735570000</v>
      </c>
      <c r="DJ10" s="73">
        <f t="shared" si="0"/>
        <v>1776190000</v>
      </c>
      <c r="DK10" s="73">
        <f t="shared" si="0"/>
        <v>1776268000</v>
      </c>
      <c r="DL10" s="73">
        <f t="shared" si="0"/>
        <v>1926172000</v>
      </c>
      <c r="DM10" s="73">
        <f t="shared" si="0"/>
        <v>1966390000</v>
      </c>
      <c r="DN10" s="73">
        <f t="shared" si="0"/>
        <v>2115600000</v>
      </c>
      <c r="DS10" t="s">
        <v>329</v>
      </c>
    </row>
    <row r="11" spans="1:123" x14ac:dyDescent="0.25">
      <c r="CY11" s="73">
        <f>CY22*100000</f>
        <v>270000</v>
      </c>
      <c r="CZ11" s="73">
        <f t="shared" ref="CZ11:DN11" si="1">CZ22*100000</f>
        <v>545000</v>
      </c>
      <c r="DA11" s="73">
        <f t="shared" si="1"/>
        <v>980000.00000000012</v>
      </c>
      <c r="DB11" s="73">
        <f t="shared" si="1"/>
        <v>2100000</v>
      </c>
      <c r="DC11" s="73">
        <f t="shared" si="1"/>
        <v>3300000</v>
      </c>
      <c r="DD11" s="73">
        <f t="shared" si="1"/>
        <v>4700000</v>
      </c>
      <c r="DE11" s="73">
        <f t="shared" si="1"/>
        <v>6480000</v>
      </c>
      <c r="DF11" s="73">
        <f t="shared" si="1"/>
        <v>8400000</v>
      </c>
      <c r="DG11" s="73">
        <f t="shared" si="1"/>
        <v>9255000</v>
      </c>
      <c r="DH11" s="73">
        <f t="shared" si="1"/>
        <v>12100000</v>
      </c>
      <c r="DI11" s="73">
        <f t="shared" si="1"/>
        <v>16060000</v>
      </c>
      <c r="DJ11" s="73">
        <f t="shared" si="1"/>
        <v>20800000</v>
      </c>
      <c r="DK11" s="73">
        <f t="shared" si="1"/>
        <v>23140000</v>
      </c>
      <c r="DL11" s="73">
        <f t="shared" si="1"/>
        <v>20850000</v>
      </c>
      <c r="DM11" s="73">
        <f t="shared" si="1"/>
        <v>23100000</v>
      </c>
      <c r="DN11" s="73">
        <f t="shared" si="1"/>
        <v>20900000</v>
      </c>
      <c r="DS11" t="s">
        <v>330</v>
      </c>
    </row>
    <row r="12" spans="1:123" x14ac:dyDescent="0.25">
      <c r="DS12" t="s">
        <v>331</v>
      </c>
    </row>
    <row r="13" spans="1:123" x14ac:dyDescent="0.25">
      <c r="DS13" t="s">
        <v>332</v>
      </c>
    </row>
    <row r="14" spans="1:123" x14ac:dyDescent="0.25">
      <c r="C14" s="67">
        <v>0</v>
      </c>
      <c r="D14" s="67">
        <f>C14+1</f>
        <v>1</v>
      </c>
      <c r="E14" s="67">
        <f t="shared" ref="E14:BP14" si="2">D14+1</f>
        <v>2</v>
      </c>
      <c r="F14" s="67">
        <f t="shared" si="2"/>
        <v>3</v>
      </c>
      <c r="G14" s="67">
        <f t="shared" si="2"/>
        <v>4</v>
      </c>
      <c r="H14" s="67">
        <f t="shared" si="2"/>
        <v>5</v>
      </c>
      <c r="I14" s="67">
        <f t="shared" si="2"/>
        <v>6</v>
      </c>
      <c r="J14" s="67">
        <f t="shared" si="2"/>
        <v>7</v>
      </c>
      <c r="K14" s="67">
        <f t="shared" si="2"/>
        <v>8</v>
      </c>
      <c r="L14" s="67">
        <f t="shared" si="2"/>
        <v>9</v>
      </c>
      <c r="M14" s="67">
        <f t="shared" si="2"/>
        <v>10</v>
      </c>
      <c r="N14" s="67">
        <f t="shared" si="2"/>
        <v>11</v>
      </c>
      <c r="O14" s="67">
        <f t="shared" si="2"/>
        <v>12</v>
      </c>
      <c r="P14" s="67">
        <f t="shared" si="2"/>
        <v>13</v>
      </c>
      <c r="Q14" s="67">
        <f t="shared" si="2"/>
        <v>14</v>
      </c>
      <c r="R14" s="67">
        <f t="shared" si="2"/>
        <v>15</v>
      </c>
      <c r="S14" s="67">
        <f t="shared" si="2"/>
        <v>16</v>
      </c>
      <c r="T14" s="67">
        <f t="shared" si="2"/>
        <v>17</v>
      </c>
      <c r="U14" s="67">
        <f t="shared" si="2"/>
        <v>18</v>
      </c>
      <c r="V14" s="67">
        <f t="shared" si="2"/>
        <v>19</v>
      </c>
      <c r="W14" s="67">
        <f t="shared" si="2"/>
        <v>20</v>
      </c>
      <c r="X14" s="67">
        <f t="shared" si="2"/>
        <v>21</v>
      </c>
      <c r="Y14" s="67">
        <f t="shared" si="2"/>
        <v>22</v>
      </c>
      <c r="Z14" s="67">
        <f t="shared" si="2"/>
        <v>23</v>
      </c>
      <c r="AA14" s="67">
        <f t="shared" si="2"/>
        <v>24</v>
      </c>
      <c r="AB14" s="67">
        <f t="shared" si="2"/>
        <v>25</v>
      </c>
      <c r="AC14" s="67">
        <f t="shared" si="2"/>
        <v>26</v>
      </c>
      <c r="AD14" s="67">
        <f t="shared" si="2"/>
        <v>27</v>
      </c>
      <c r="AE14" s="67">
        <f t="shared" si="2"/>
        <v>28</v>
      </c>
      <c r="AF14" s="67">
        <f t="shared" si="2"/>
        <v>29</v>
      </c>
      <c r="AG14" s="67">
        <f t="shared" si="2"/>
        <v>30</v>
      </c>
      <c r="AH14" s="67">
        <f t="shared" si="2"/>
        <v>31</v>
      </c>
      <c r="AI14" s="67">
        <f t="shared" si="2"/>
        <v>32</v>
      </c>
      <c r="AJ14" s="67">
        <f t="shared" si="2"/>
        <v>33</v>
      </c>
      <c r="AK14" s="67">
        <f t="shared" si="2"/>
        <v>34</v>
      </c>
      <c r="AL14" s="67">
        <f t="shared" si="2"/>
        <v>35</v>
      </c>
      <c r="AM14" s="67">
        <f t="shared" si="2"/>
        <v>36</v>
      </c>
      <c r="AN14" s="67">
        <f t="shared" si="2"/>
        <v>37</v>
      </c>
      <c r="AO14" s="67">
        <f t="shared" si="2"/>
        <v>38</v>
      </c>
      <c r="AP14" s="67">
        <f t="shared" si="2"/>
        <v>39</v>
      </c>
      <c r="AQ14" s="67">
        <f t="shared" si="2"/>
        <v>40</v>
      </c>
      <c r="AR14" s="67">
        <f t="shared" si="2"/>
        <v>41</v>
      </c>
      <c r="AS14" s="67">
        <f t="shared" si="2"/>
        <v>42</v>
      </c>
      <c r="AT14" s="67">
        <f t="shared" si="2"/>
        <v>43</v>
      </c>
      <c r="AU14" s="67">
        <f t="shared" si="2"/>
        <v>44</v>
      </c>
      <c r="AV14" s="67">
        <f t="shared" si="2"/>
        <v>45</v>
      </c>
      <c r="AW14" s="67">
        <f t="shared" si="2"/>
        <v>46</v>
      </c>
      <c r="AX14" s="67">
        <f t="shared" si="2"/>
        <v>47</v>
      </c>
      <c r="AY14" s="67">
        <f t="shared" si="2"/>
        <v>48</v>
      </c>
      <c r="AZ14" s="67">
        <f t="shared" si="2"/>
        <v>49</v>
      </c>
      <c r="BA14" s="67">
        <f t="shared" si="2"/>
        <v>50</v>
      </c>
      <c r="BB14" s="67">
        <f t="shared" si="2"/>
        <v>51</v>
      </c>
      <c r="BC14" s="67">
        <f t="shared" si="2"/>
        <v>52</v>
      </c>
      <c r="BD14" s="67">
        <f t="shared" si="2"/>
        <v>53</v>
      </c>
      <c r="BE14" s="67">
        <f t="shared" si="2"/>
        <v>54</v>
      </c>
      <c r="BF14" s="67">
        <f t="shared" si="2"/>
        <v>55</v>
      </c>
      <c r="BG14" s="67">
        <f t="shared" si="2"/>
        <v>56</v>
      </c>
      <c r="BH14" s="67">
        <f t="shared" si="2"/>
        <v>57</v>
      </c>
      <c r="BI14" s="67">
        <f t="shared" si="2"/>
        <v>58</v>
      </c>
      <c r="BJ14" s="67">
        <f t="shared" si="2"/>
        <v>59</v>
      </c>
      <c r="BK14" s="67">
        <f t="shared" si="2"/>
        <v>60</v>
      </c>
      <c r="BL14" s="67">
        <f t="shared" si="2"/>
        <v>61</v>
      </c>
      <c r="BM14" s="67">
        <f t="shared" si="2"/>
        <v>62</v>
      </c>
      <c r="BN14" s="67">
        <f t="shared" si="2"/>
        <v>63</v>
      </c>
      <c r="BO14" s="67">
        <f t="shared" si="2"/>
        <v>64</v>
      </c>
      <c r="BP14" s="67">
        <f t="shared" si="2"/>
        <v>65</v>
      </c>
      <c r="BQ14" s="67">
        <f t="shared" ref="BQ14:DN14" si="3">BP14+1</f>
        <v>66</v>
      </c>
      <c r="BR14" s="67">
        <f t="shared" si="3"/>
        <v>67</v>
      </c>
      <c r="BS14" s="67">
        <f t="shared" si="3"/>
        <v>68</v>
      </c>
      <c r="BT14" s="67">
        <f t="shared" si="3"/>
        <v>69</v>
      </c>
      <c r="BU14" s="67">
        <f t="shared" si="3"/>
        <v>70</v>
      </c>
      <c r="BV14" s="67">
        <f t="shared" si="3"/>
        <v>71</v>
      </c>
      <c r="BW14" s="67">
        <f t="shared" si="3"/>
        <v>72</v>
      </c>
      <c r="BX14" s="67">
        <f t="shared" si="3"/>
        <v>73</v>
      </c>
      <c r="BY14" s="67">
        <f t="shared" si="3"/>
        <v>74</v>
      </c>
      <c r="BZ14" s="67">
        <f t="shared" si="3"/>
        <v>75</v>
      </c>
      <c r="CA14" s="67">
        <f t="shared" si="3"/>
        <v>76</v>
      </c>
      <c r="CB14" s="67">
        <f t="shared" si="3"/>
        <v>77</v>
      </c>
      <c r="CC14" s="67">
        <f t="shared" si="3"/>
        <v>78</v>
      </c>
      <c r="CD14" s="67">
        <f t="shared" si="3"/>
        <v>79</v>
      </c>
      <c r="CE14" s="67">
        <f t="shared" si="3"/>
        <v>80</v>
      </c>
      <c r="CF14" s="67">
        <f t="shared" si="3"/>
        <v>81</v>
      </c>
      <c r="CG14" s="67">
        <f t="shared" si="3"/>
        <v>82</v>
      </c>
      <c r="CH14" s="67">
        <f t="shared" si="3"/>
        <v>83</v>
      </c>
      <c r="CI14" s="67">
        <f t="shared" si="3"/>
        <v>84</v>
      </c>
      <c r="CJ14" s="67">
        <f t="shared" si="3"/>
        <v>85</v>
      </c>
      <c r="CK14" s="67">
        <f t="shared" si="3"/>
        <v>86</v>
      </c>
      <c r="CL14" s="67">
        <f t="shared" si="3"/>
        <v>87</v>
      </c>
      <c r="CM14" s="67">
        <f t="shared" si="3"/>
        <v>88</v>
      </c>
      <c r="CN14" s="67">
        <f t="shared" si="3"/>
        <v>89</v>
      </c>
      <c r="CO14" s="67">
        <f t="shared" si="3"/>
        <v>90</v>
      </c>
      <c r="CP14" s="67">
        <f t="shared" si="3"/>
        <v>91</v>
      </c>
      <c r="CQ14" s="67">
        <f t="shared" si="3"/>
        <v>92</v>
      </c>
      <c r="CR14" s="67">
        <f t="shared" si="3"/>
        <v>93</v>
      </c>
      <c r="CS14" s="67">
        <f t="shared" si="3"/>
        <v>94</v>
      </c>
      <c r="CT14" s="67">
        <f t="shared" si="3"/>
        <v>95</v>
      </c>
      <c r="CU14" s="67">
        <f t="shared" si="3"/>
        <v>96</v>
      </c>
      <c r="CV14" s="67">
        <f t="shared" si="3"/>
        <v>97</v>
      </c>
      <c r="CW14" s="67">
        <f t="shared" si="3"/>
        <v>98</v>
      </c>
      <c r="CX14" s="67">
        <f t="shared" si="3"/>
        <v>99</v>
      </c>
      <c r="CY14" s="67">
        <f t="shared" si="3"/>
        <v>100</v>
      </c>
      <c r="CZ14" s="67">
        <f t="shared" si="3"/>
        <v>101</v>
      </c>
      <c r="DA14" s="67">
        <f t="shared" si="3"/>
        <v>102</v>
      </c>
      <c r="DB14" s="67">
        <f t="shared" si="3"/>
        <v>103</v>
      </c>
      <c r="DC14" s="67">
        <f t="shared" si="3"/>
        <v>104</v>
      </c>
      <c r="DD14" s="67">
        <f t="shared" si="3"/>
        <v>105</v>
      </c>
      <c r="DE14" s="67">
        <f t="shared" si="3"/>
        <v>106</v>
      </c>
      <c r="DF14" s="67">
        <f t="shared" si="3"/>
        <v>107</v>
      </c>
      <c r="DG14" s="67">
        <f t="shared" si="3"/>
        <v>108</v>
      </c>
      <c r="DH14" s="67">
        <f t="shared" si="3"/>
        <v>109</v>
      </c>
      <c r="DI14" s="67">
        <f t="shared" si="3"/>
        <v>110</v>
      </c>
      <c r="DJ14" s="67">
        <f t="shared" si="3"/>
        <v>111</v>
      </c>
      <c r="DK14" s="67">
        <f t="shared" si="3"/>
        <v>112</v>
      </c>
      <c r="DL14" s="67">
        <f t="shared" si="3"/>
        <v>113</v>
      </c>
      <c r="DM14" s="67">
        <f t="shared" si="3"/>
        <v>114</v>
      </c>
      <c r="DN14" s="67">
        <f t="shared" si="3"/>
        <v>115</v>
      </c>
      <c r="DS14" t="s">
        <v>333</v>
      </c>
    </row>
    <row r="15" spans="1:123" x14ac:dyDescent="0.25">
      <c r="B15" t="s">
        <v>199</v>
      </c>
      <c r="C15" s="73" t="e">
        <f>C4/$DN$4</f>
        <v>#VALUE!</v>
      </c>
      <c r="D15" s="74" t="e">
        <f t="shared" ref="D15:BO15" si="4">D4/$DN$4</f>
        <v>#VALUE!</v>
      </c>
      <c r="E15" s="74" t="e">
        <f t="shared" si="4"/>
        <v>#VALUE!</v>
      </c>
      <c r="F15" s="74" t="e">
        <f t="shared" si="4"/>
        <v>#VALUE!</v>
      </c>
      <c r="G15" s="74" t="e">
        <f t="shared" si="4"/>
        <v>#VALUE!</v>
      </c>
      <c r="H15" s="74" t="e">
        <f t="shared" si="4"/>
        <v>#VALUE!</v>
      </c>
      <c r="I15" s="74" t="e">
        <f t="shared" si="4"/>
        <v>#VALUE!</v>
      </c>
      <c r="J15" s="74" t="e">
        <f t="shared" si="4"/>
        <v>#VALUE!</v>
      </c>
      <c r="K15" s="74" t="e">
        <f t="shared" si="4"/>
        <v>#VALUE!</v>
      </c>
      <c r="L15" s="74" t="e">
        <f t="shared" si="4"/>
        <v>#VALUE!</v>
      </c>
      <c r="M15" s="74" t="e">
        <f t="shared" si="4"/>
        <v>#VALUE!</v>
      </c>
      <c r="N15" s="74" t="e">
        <f t="shared" si="4"/>
        <v>#VALUE!</v>
      </c>
      <c r="O15" s="74" t="e">
        <f t="shared" si="4"/>
        <v>#VALUE!</v>
      </c>
      <c r="P15" s="74" t="e">
        <f t="shared" si="4"/>
        <v>#VALUE!</v>
      </c>
      <c r="Q15" s="74" t="e">
        <f t="shared" si="4"/>
        <v>#VALUE!</v>
      </c>
      <c r="R15" s="74" t="e">
        <f t="shared" si="4"/>
        <v>#VALUE!</v>
      </c>
      <c r="S15" s="74" t="e">
        <f t="shared" si="4"/>
        <v>#VALUE!</v>
      </c>
      <c r="T15" s="74" t="e">
        <f t="shared" si="4"/>
        <v>#VALUE!</v>
      </c>
      <c r="U15" s="74" t="e">
        <f t="shared" si="4"/>
        <v>#VALUE!</v>
      </c>
      <c r="V15" s="74" t="e">
        <f t="shared" si="4"/>
        <v>#VALUE!</v>
      </c>
      <c r="W15" s="74" t="e">
        <f t="shared" si="4"/>
        <v>#VALUE!</v>
      </c>
      <c r="X15" s="74" t="e">
        <f t="shared" si="4"/>
        <v>#VALUE!</v>
      </c>
      <c r="Y15" s="74" t="e">
        <f t="shared" si="4"/>
        <v>#VALUE!</v>
      </c>
      <c r="Z15" s="74" t="e">
        <f t="shared" si="4"/>
        <v>#VALUE!</v>
      </c>
      <c r="AA15" s="74" t="e">
        <f t="shared" si="4"/>
        <v>#VALUE!</v>
      </c>
      <c r="AB15" s="74" t="e">
        <f t="shared" si="4"/>
        <v>#VALUE!</v>
      </c>
      <c r="AC15" s="74">
        <f t="shared" si="4"/>
        <v>1.5369458128078817E-2</v>
      </c>
      <c r="AD15" s="74">
        <f t="shared" si="4"/>
        <v>1.6699507389162562E-2</v>
      </c>
      <c r="AE15" s="74">
        <f t="shared" si="4"/>
        <v>1.7783251231527093E-2</v>
      </c>
      <c r="AF15" s="74">
        <f t="shared" si="4"/>
        <v>1.8448275862068965E-2</v>
      </c>
      <c r="AG15" s="74">
        <f t="shared" si="4"/>
        <v>1.7807881773399016E-2</v>
      </c>
      <c r="AH15" s="74">
        <f t="shared" si="4"/>
        <v>1.5295566502463054E-2</v>
      </c>
      <c r="AI15" s="74">
        <f t="shared" si="4"/>
        <v>1.2142857142857143E-2</v>
      </c>
      <c r="AJ15" s="74">
        <f t="shared" si="4"/>
        <v>1.187192118226601E-2</v>
      </c>
      <c r="AK15" s="74">
        <f t="shared" si="4"/>
        <v>1.4359605911330049E-2</v>
      </c>
      <c r="AL15" s="74">
        <f t="shared" si="4"/>
        <v>1.6108374384236453E-2</v>
      </c>
      <c r="AM15" s="74">
        <f t="shared" si="4"/>
        <v>1.5467980295566503E-2</v>
      </c>
      <c r="AN15" s="74">
        <f t="shared" si="4"/>
        <v>2.0369458128078818E-2</v>
      </c>
      <c r="AO15" s="74">
        <f t="shared" si="4"/>
        <v>2.1157635467980294E-2</v>
      </c>
      <c r="AP15" s="74">
        <f t="shared" si="4"/>
        <v>2.2906403940886701E-2</v>
      </c>
      <c r="AQ15" s="74">
        <f t="shared" si="4"/>
        <v>1.9950738916256157E-2</v>
      </c>
      <c r="AR15" s="74">
        <f t="shared" si="4"/>
        <v>2.167487684729064E-2</v>
      </c>
      <c r="AS15" s="74">
        <f t="shared" si="4"/>
        <v>1.9926108374384237E-2</v>
      </c>
      <c r="AT15" s="74">
        <f t="shared" si="4"/>
        <v>1.7536945812807882E-2</v>
      </c>
      <c r="AU15" s="74">
        <f t="shared" si="4"/>
        <v>1.3522167487684729E-2</v>
      </c>
      <c r="AV15" s="74">
        <f t="shared" si="4"/>
        <v>1.2192118226600985E-2</v>
      </c>
      <c r="AW15" s="74">
        <f t="shared" si="4"/>
        <v>1.7857142857142856E-2</v>
      </c>
      <c r="AX15" s="74">
        <f t="shared" si="4"/>
        <v>2.1133004926108374E-2</v>
      </c>
      <c r="AY15" s="74">
        <f t="shared" si="4"/>
        <v>2.5123152709359605E-2</v>
      </c>
      <c r="AZ15" s="74">
        <f t="shared" si="4"/>
        <v>2.832512315270936E-2</v>
      </c>
      <c r="BA15" s="74">
        <f t="shared" si="4"/>
        <v>3.2758620689655175E-2</v>
      </c>
      <c r="BB15" s="74">
        <f t="shared" si="4"/>
        <v>3.6699507389162563E-2</v>
      </c>
      <c r="BC15" s="74">
        <f t="shared" si="4"/>
        <v>3.9655172413793106E-2</v>
      </c>
      <c r="BD15" s="74">
        <f t="shared" si="4"/>
        <v>4.3842364532019708E-2</v>
      </c>
      <c r="BE15" s="74">
        <f t="shared" si="4"/>
        <v>4.8004926108374382E-2</v>
      </c>
      <c r="BF15" s="74">
        <f t="shared" si="4"/>
        <v>5.3522167487684728E-2</v>
      </c>
      <c r="BG15" s="74">
        <f t="shared" si="4"/>
        <v>5.7980295566502464E-2</v>
      </c>
      <c r="BH15" s="74">
        <f t="shared" si="4"/>
        <v>6.0812807881773401E-2</v>
      </c>
      <c r="BI15" s="74">
        <f t="shared" si="4"/>
        <v>6.4655172413793108E-2</v>
      </c>
      <c r="BJ15" s="74">
        <f t="shared" si="4"/>
        <v>7.2487684729064042E-2</v>
      </c>
      <c r="BK15" s="74">
        <f t="shared" si="4"/>
        <v>7.7955665024630541E-2</v>
      </c>
      <c r="BL15" s="74">
        <f t="shared" si="4"/>
        <v>8.2068965517241382E-2</v>
      </c>
      <c r="BM15" s="74">
        <f t="shared" si="4"/>
        <v>8.8300492610837444E-2</v>
      </c>
      <c r="BN15" s="74">
        <f t="shared" si="4"/>
        <v>9.3103448275862075E-2</v>
      </c>
      <c r="BO15" s="74">
        <f t="shared" si="4"/>
        <v>0.10236453201970443</v>
      </c>
      <c r="BP15" s="74">
        <f t="shared" ref="BP15:DN15" si="5">BP4/$DN$4</f>
        <v>0.1067487684729064</v>
      </c>
      <c r="BQ15" s="74">
        <f t="shared" si="5"/>
        <v>0.11433497536945812</v>
      </c>
      <c r="BR15" s="74">
        <f t="shared" si="5"/>
        <v>0.11817733990147783</v>
      </c>
      <c r="BS15" s="74">
        <f t="shared" si="5"/>
        <v>0.12689655172413794</v>
      </c>
      <c r="BT15" s="74">
        <f t="shared" si="5"/>
        <v>0.13376847290640395</v>
      </c>
      <c r="BU15" s="74">
        <f t="shared" si="5"/>
        <v>0.14083743842364532</v>
      </c>
      <c r="BV15" s="74">
        <f t="shared" si="5"/>
        <v>0.14532019704433496</v>
      </c>
      <c r="BW15" s="74">
        <f t="shared" si="5"/>
        <v>0.16280788177339903</v>
      </c>
      <c r="BX15" s="74">
        <f t="shared" si="5"/>
        <v>0.17290640394088669</v>
      </c>
      <c r="BY15" s="74">
        <f t="shared" si="5"/>
        <v>0.17320197044334976</v>
      </c>
      <c r="BZ15" s="74">
        <f t="shared" si="5"/>
        <v>0.17295566502463053</v>
      </c>
      <c r="CA15" s="74">
        <f t="shared" si="5"/>
        <v>0.18113300492610837</v>
      </c>
      <c r="CB15" s="74">
        <f t="shared" si="5"/>
        <v>0.19633004926108374</v>
      </c>
      <c r="CC15" s="74">
        <f t="shared" si="5"/>
        <v>0.21009852216748767</v>
      </c>
      <c r="CD15" s="74">
        <f t="shared" si="5"/>
        <v>0.21487684729064038</v>
      </c>
      <c r="CE15" s="74">
        <f t="shared" si="5"/>
        <v>0.21751231527093595</v>
      </c>
      <c r="CF15" s="74">
        <f t="shared" si="5"/>
        <v>0.21839901477832513</v>
      </c>
      <c r="CG15" s="74">
        <f t="shared" si="5"/>
        <v>0.21857142857142858</v>
      </c>
      <c r="CH15" s="74">
        <f t="shared" si="5"/>
        <v>0.22576354679802957</v>
      </c>
      <c r="CI15" s="74">
        <f t="shared" si="5"/>
        <v>0.23179802955665024</v>
      </c>
      <c r="CJ15" s="74">
        <f t="shared" si="5"/>
        <v>0.23630541871921182</v>
      </c>
      <c r="CK15" s="74">
        <f t="shared" si="5"/>
        <v>0.24827586206896551</v>
      </c>
      <c r="CL15" s="74">
        <f t="shared" si="5"/>
        <v>0.25935960591133006</v>
      </c>
      <c r="CM15" s="74">
        <f t="shared" si="5"/>
        <v>0.27536945812807884</v>
      </c>
      <c r="CN15" s="74">
        <f t="shared" si="5"/>
        <v>0.28300492610837441</v>
      </c>
      <c r="CO15" s="74">
        <f t="shared" si="5"/>
        <v>0.2857142857142857</v>
      </c>
      <c r="CP15" s="74">
        <f t="shared" si="5"/>
        <v>0.29113300492610839</v>
      </c>
      <c r="CQ15" s="74">
        <f t="shared" si="5"/>
        <v>0.30320197044334973</v>
      </c>
      <c r="CR15" s="74">
        <f t="shared" si="5"/>
        <v>0.31798029556650248</v>
      </c>
      <c r="CS15" s="74">
        <f t="shared" si="5"/>
        <v>0.33743842364532017</v>
      </c>
      <c r="CT15" s="74">
        <f t="shared" si="5"/>
        <v>0.35591133004926107</v>
      </c>
      <c r="CU15" s="74">
        <f t="shared" si="5"/>
        <v>0.36773399014778324</v>
      </c>
      <c r="CV15" s="74">
        <f t="shared" si="5"/>
        <v>0.38103448275862067</v>
      </c>
      <c r="CW15" s="74">
        <f t="shared" si="5"/>
        <v>0.37931034482758619</v>
      </c>
      <c r="CX15" s="74">
        <f t="shared" si="5"/>
        <v>0.39408866995073893</v>
      </c>
      <c r="CY15" s="74">
        <f t="shared" si="5"/>
        <v>0.40886699507389163</v>
      </c>
      <c r="CZ15" s="74">
        <f t="shared" si="5"/>
        <v>0.43103448275862066</v>
      </c>
      <c r="DA15" s="74">
        <f t="shared" si="5"/>
        <v>0.45566502463054187</v>
      </c>
      <c r="DB15" s="74">
        <f t="shared" si="5"/>
        <v>0.49753694581280788</v>
      </c>
      <c r="DC15" s="74">
        <f t="shared" si="5"/>
        <v>0.53940886699507384</v>
      </c>
      <c r="DD15" s="74">
        <f t="shared" si="5"/>
        <v>0.5788177339901478</v>
      </c>
      <c r="DE15" s="74">
        <f t="shared" si="5"/>
        <v>0.64532019704433496</v>
      </c>
      <c r="DF15" s="74">
        <f t="shared" si="5"/>
        <v>0.69211822660098521</v>
      </c>
      <c r="DG15" s="74">
        <f t="shared" si="5"/>
        <v>0.70197044334975367</v>
      </c>
      <c r="DH15" s="74">
        <f t="shared" si="5"/>
        <v>0.75123152709359609</v>
      </c>
      <c r="DI15" s="74">
        <f t="shared" si="5"/>
        <v>0.81034482758620685</v>
      </c>
      <c r="DJ15" s="74">
        <f t="shared" si="5"/>
        <v>0.89408866995073888</v>
      </c>
      <c r="DK15" s="74">
        <f t="shared" si="5"/>
        <v>0.94088669950738912</v>
      </c>
      <c r="DL15" s="74">
        <f t="shared" si="5"/>
        <v>1.0024630541871922</v>
      </c>
      <c r="DM15" s="74">
        <f t="shared" si="5"/>
        <v>1.0295566502463054</v>
      </c>
      <c r="DN15" s="74">
        <f t="shared" si="5"/>
        <v>1</v>
      </c>
      <c r="DS15" t="s">
        <v>334</v>
      </c>
    </row>
    <row r="16" spans="1:123" x14ac:dyDescent="0.25">
      <c r="B16" t="s">
        <v>201</v>
      </c>
      <c r="C16" s="73">
        <f>C5/$DN$5</f>
        <v>1.1826086956521739E-4</v>
      </c>
      <c r="D16" s="73">
        <f t="shared" ref="D16:BO16" si="6">D5/$DN$5</f>
        <v>1.1826086956521739E-4</v>
      </c>
      <c r="E16" s="73">
        <f t="shared" si="6"/>
        <v>1.3739130434782607E-4</v>
      </c>
      <c r="F16" s="73">
        <f t="shared" si="6"/>
        <v>1.4782608695652173E-4</v>
      </c>
      <c r="G16" s="73">
        <f t="shared" si="6"/>
        <v>1.7391304347826088E-4</v>
      </c>
      <c r="H16" s="73">
        <f t="shared" si="6"/>
        <v>2.2608695652173914E-4</v>
      </c>
      <c r="I16" s="73">
        <f t="shared" si="6"/>
        <v>2.9565217391304345E-4</v>
      </c>
      <c r="J16" s="73">
        <f t="shared" si="6"/>
        <v>3.8260869565217393E-4</v>
      </c>
      <c r="K16" s="73">
        <f t="shared" si="6"/>
        <v>2.9565217391304345E-4</v>
      </c>
      <c r="L16" s="73">
        <f t="shared" si="6"/>
        <v>5.2173913043478256E-4</v>
      </c>
      <c r="M16" s="73">
        <f t="shared" si="6"/>
        <v>7.8260869565217395E-4</v>
      </c>
      <c r="N16" s="73">
        <f t="shared" si="6"/>
        <v>8.0000000000000004E-4</v>
      </c>
      <c r="O16" s="73">
        <f t="shared" si="6"/>
        <v>1.008695652173913E-3</v>
      </c>
      <c r="P16" s="73">
        <f t="shared" si="6"/>
        <v>1.1304347826086956E-3</v>
      </c>
      <c r="Q16" s="73">
        <f t="shared" si="6"/>
        <v>1.1999999999999999E-3</v>
      </c>
      <c r="R16" s="73">
        <f t="shared" si="6"/>
        <v>1.3565217391304349E-3</v>
      </c>
      <c r="S16" s="73">
        <f t="shared" si="6"/>
        <v>1.8434782608695653E-3</v>
      </c>
      <c r="T16" s="73">
        <f t="shared" si="6"/>
        <v>2.1391304347826087E-3</v>
      </c>
      <c r="U16" s="73">
        <f t="shared" si="6"/>
        <v>2.2260869565217389E-3</v>
      </c>
      <c r="V16" s="73">
        <f t="shared" si="6"/>
        <v>2.1043478260869566E-3</v>
      </c>
      <c r="W16" s="73">
        <f t="shared" si="6"/>
        <v>2.1739130434782609E-3</v>
      </c>
      <c r="X16" s="73">
        <f t="shared" si="6"/>
        <v>1.217391304347826E-3</v>
      </c>
      <c r="Y16" s="73">
        <f t="shared" si="6"/>
        <v>1.5130434782608696E-3</v>
      </c>
      <c r="Z16" s="73">
        <f t="shared" si="6"/>
        <v>2.4521739130434783E-3</v>
      </c>
      <c r="AA16" s="73">
        <f t="shared" si="6"/>
        <v>2.9217391304347828E-3</v>
      </c>
      <c r="AB16" s="73">
        <f t="shared" si="6"/>
        <v>3.0956521739130436E-3</v>
      </c>
      <c r="AC16" s="73">
        <f t="shared" si="6"/>
        <v>3.3913043478260869E-3</v>
      </c>
      <c r="AD16" s="73">
        <f t="shared" si="6"/>
        <v>3.8260869565217392E-3</v>
      </c>
      <c r="AE16" s="73">
        <f t="shared" si="6"/>
        <v>4.4869565217391305E-3</v>
      </c>
      <c r="AF16" s="73">
        <f t="shared" si="6"/>
        <v>4.8695652173913039E-3</v>
      </c>
      <c r="AG16" s="73">
        <f t="shared" si="6"/>
        <v>4.7304347826086952E-3</v>
      </c>
      <c r="AH16" s="73">
        <f t="shared" si="6"/>
        <v>3.8260869565217392E-3</v>
      </c>
      <c r="AI16" s="73">
        <f t="shared" si="6"/>
        <v>2.6608695652173913E-3</v>
      </c>
      <c r="AJ16" s="73">
        <f t="shared" si="6"/>
        <v>2.4695652173913041E-3</v>
      </c>
      <c r="AK16" s="73">
        <f t="shared" si="6"/>
        <v>2.956521739130435E-3</v>
      </c>
      <c r="AL16" s="73">
        <f t="shared" si="6"/>
        <v>4.5043478260869563E-3</v>
      </c>
      <c r="AM16" s="73">
        <f t="shared" si="6"/>
        <v>6.2608695652173916E-3</v>
      </c>
      <c r="AN16" s="73">
        <f t="shared" si="6"/>
        <v>8.3826086956521745E-3</v>
      </c>
      <c r="AO16" s="73">
        <f t="shared" si="6"/>
        <v>1.0069565217391304E-2</v>
      </c>
      <c r="AP16" s="73">
        <f t="shared" si="6"/>
        <v>1.2521739130434783E-2</v>
      </c>
      <c r="AQ16" s="73">
        <f t="shared" si="6"/>
        <v>1.3686956521739131E-2</v>
      </c>
      <c r="AR16" s="73">
        <f t="shared" si="6"/>
        <v>1.8086956521739129E-2</v>
      </c>
      <c r="AS16" s="73">
        <f t="shared" si="6"/>
        <v>2.4347826086956521E-2</v>
      </c>
      <c r="AT16" s="73">
        <f t="shared" si="6"/>
        <v>3.3913043478260872E-2</v>
      </c>
      <c r="AU16" s="73">
        <f t="shared" si="6"/>
        <v>2.9391304347826087E-2</v>
      </c>
      <c r="AV16" s="73">
        <f t="shared" si="6"/>
        <v>1.5130434782608696E-2</v>
      </c>
      <c r="AW16" s="73">
        <f t="shared" si="6"/>
        <v>1.3739130434782608E-2</v>
      </c>
      <c r="AX16" s="73">
        <f t="shared" si="6"/>
        <v>1.8782608695652174E-2</v>
      </c>
      <c r="AY16" s="73">
        <f t="shared" si="6"/>
        <v>2.2086956521739129E-2</v>
      </c>
      <c r="AZ16" s="73">
        <f t="shared" si="6"/>
        <v>2.2782608695652174E-2</v>
      </c>
      <c r="BA16" s="73">
        <f t="shared" si="6"/>
        <v>2.5913043478260869E-2</v>
      </c>
      <c r="BB16" s="73">
        <f t="shared" si="6"/>
        <v>3.1304347826086959E-2</v>
      </c>
      <c r="BC16" s="73">
        <f t="shared" si="6"/>
        <v>3.5826086956521737E-2</v>
      </c>
      <c r="BD16" s="73">
        <f t="shared" si="6"/>
        <v>4.2956521739130435E-2</v>
      </c>
      <c r="BE16" s="73">
        <f t="shared" si="6"/>
        <v>4.8869565217391303E-2</v>
      </c>
      <c r="BF16" s="73">
        <f t="shared" si="6"/>
        <v>5.4608695652173911E-2</v>
      </c>
      <c r="BG16" s="73">
        <f t="shared" si="6"/>
        <v>5.8608695652173914E-2</v>
      </c>
      <c r="BH16" s="73">
        <f t="shared" si="6"/>
        <v>5.8608695652173914E-2</v>
      </c>
      <c r="BI16" s="73">
        <f t="shared" si="6"/>
        <v>6.1043478260869567E-2</v>
      </c>
      <c r="BJ16" s="73">
        <f t="shared" si="6"/>
        <v>7.0608695652173911E-2</v>
      </c>
      <c r="BK16" s="73">
        <f t="shared" si="6"/>
        <v>7.8086956521739137E-2</v>
      </c>
      <c r="BL16" s="73">
        <f t="shared" si="6"/>
        <v>8.1739130434782606E-2</v>
      </c>
      <c r="BM16" s="73">
        <f t="shared" si="6"/>
        <v>8.7999999999999995E-2</v>
      </c>
      <c r="BN16" s="73">
        <f t="shared" si="6"/>
        <v>9.252173913043478E-2</v>
      </c>
      <c r="BO16" s="73">
        <f t="shared" si="6"/>
        <v>0.10330434782608695</v>
      </c>
      <c r="BP16" s="73">
        <f t="shared" ref="BP16:DN16" si="7">BP5/$DN$5</f>
        <v>0.1097391304347826</v>
      </c>
      <c r="BQ16" s="73">
        <f t="shared" si="7"/>
        <v>0.11965217391304347</v>
      </c>
      <c r="BR16" s="73">
        <f t="shared" si="7"/>
        <v>0.13165217391304349</v>
      </c>
      <c r="BS16" s="73">
        <f t="shared" si="7"/>
        <v>0.13947826086956522</v>
      </c>
      <c r="BT16" s="73">
        <f t="shared" si="7"/>
        <v>0.156</v>
      </c>
      <c r="BU16" s="73">
        <f t="shared" si="7"/>
        <v>0.16782608695652174</v>
      </c>
      <c r="BV16" s="73">
        <f t="shared" si="7"/>
        <v>0.17913043478260871</v>
      </c>
      <c r="BW16" s="73">
        <f t="shared" si="7"/>
        <v>0.19130434782608696</v>
      </c>
      <c r="BX16" s="73">
        <f t="shared" si="7"/>
        <v>0.21043478260869566</v>
      </c>
      <c r="BY16" s="73">
        <f t="shared" si="7"/>
        <v>0.22956521739130434</v>
      </c>
      <c r="BZ16" s="73">
        <f t="shared" si="7"/>
        <v>0.21043478260869566</v>
      </c>
      <c r="CA16" s="73">
        <f t="shared" si="7"/>
        <v>0.21913043478260869</v>
      </c>
      <c r="CB16" s="73">
        <f t="shared" si="7"/>
        <v>0.24</v>
      </c>
      <c r="CC16" s="73">
        <f t="shared" si="7"/>
        <v>0.24521739130434783</v>
      </c>
      <c r="CD16" s="73">
        <f t="shared" si="7"/>
        <v>0.25391304347826088</v>
      </c>
      <c r="CE16" s="73">
        <f t="shared" si="7"/>
        <v>0.26782608695652171</v>
      </c>
      <c r="CF16" s="73">
        <f t="shared" si="7"/>
        <v>0.26260869565217393</v>
      </c>
      <c r="CG16" s="73">
        <f t="shared" si="7"/>
        <v>0.23304347826086957</v>
      </c>
      <c r="CH16" s="73">
        <f t="shared" si="7"/>
        <v>0.2417391304347826</v>
      </c>
      <c r="CI16" s="73">
        <f t="shared" si="7"/>
        <v>0.27304347826086955</v>
      </c>
      <c r="CJ16" s="73">
        <f t="shared" si="7"/>
        <v>0.26782608695652171</v>
      </c>
      <c r="CK16" s="73">
        <f t="shared" si="7"/>
        <v>0.26782608695652171</v>
      </c>
      <c r="CL16" s="73">
        <f t="shared" si="7"/>
        <v>0.28695652173913044</v>
      </c>
      <c r="CM16" s="73">
        <f t="shared" si="7"/>
        <v>0.32173913043478258</v>
      </c>
      <c r="CN16" s="73">
        <f t="shared" si="7"/>
        <v>0.33043478260869563</v>
      </c>
      <c r="CO16" s="73">
        <f t="shared" si="7"/>
        <v>0.33565217391304347</v>
      </c>
      <c r="CP16" s="73">
        <f t="shared" si="7"/>
        <v>0.34260869565217389</v>
      </c>
      <c r="CQ16" s="73">
        <f t="shared" si="7"/>
        <v>0.33913043478260868</v>
      </c>
      <c r="CR16" s="73">
        <f t="shared" si="7"/>
        <v>0.34434782608695652</v>
      </c>
      <c r="CS16" s="73">
        <f t="shared" si="7"/>
        <v>0.3339130434782609</v>
      </c>
      <c r="CT16" s="73">
        <f t="shared" si="7"/>
        <v>0.34260869565217389</v>
      </c>
      <c r="CU16" s="73">
        <f t="shared" si="7"/>
        <v>0.36173913043478262</v>
      </c>
      <c r="CV16" s="73">
        <f t="shared" si="7"/>
        <v>0.37739130434782608</v>
      </c>
      <c r="CW16" s="73">
        <f t="shared" si="7"/>
        <v>0.39304347826086955</v>
      </c>
      <c r="CX16" s="73">
        <f t="shared" si="7"/>
        <v>0.41043478260869565</v>
      </c>
      <c r="CY16" s="73">
        <f t="shared" si="7"/>
        <v>0.4226086956521739</v>
      </c>
      <c r="CZ16" s="73">
        <f t="shared" si="7"/>
        <v>0.4226086956521739</v>
      </c>
      <c r="DA16" s="73">
        <f t="shared" si="7"/>
        <v>0.45391304347826089</v>
      </c>
      <c r="DB16" s="73">
        <f t="shared" si="7"/>
        <v>0.48695652173913045</v>
      </c>
      <c r="DC16" s="73">
        <f t="shared" si="7"/>
        <v>0.52</v>
      </c>
      <c r="DD16" s="73">
        <f t="shared" si="7"/>
        <v>0.55478260869565221</v>
      </c>
      <c r="DE16" s="73">
        <f t="shared" si="7"/>
        <v>0.5895652173913043</v>
      </c>
      <c r="DF16" s="73">
        <f t="shared" si="7"/>
        <v>0.65913043478260869</v>
      </c>
      <c r="DG16" s="73">
        <f t="shared" si="7"/>
        <v>0.69043478260869562</v>
      </c>
      <c r="DH16" s="73">
        <f t="shared" si="7"/>
        <v>0.64695652173913043</v>
      </c>
      <c r="DI16" s="73">
        <f t="shared" si="7"/>
        <v>0.72695652173913039</v>
      </c>
      <c r="DJ16" s="73">
        <f t="shared" si="7"/>
        <v>0.81391304347826088</v>
      </c>
      <c r="DK16" s="73">
        <f t="shared" si="7"/>
        <v>0.85565217391304349</v>
      </c>
      <c r="DL16" s="73">
        <f t="shared" si="7"/>
        <v>0.90260869565217394</v>
      </c>
      <c r="DM16" s="73">
        <f t="shared" si="7"/>
        <v>0.93913043478260871</v>
      </c>
      <c r="DN16" s="73">
        <f t="shared" si="7"/>
        <v>1</v>
      </c>
      <c r="DS16" t="s">
        <v>335</v>
      </c>
    </row>
    <row r="17" spans="1:123" x14ac:dyDescent="0.25">
      <c r="B17" t="s">
        <v>204</v>
      </c>
      <c r="BZ17" s="77">
        <v>17.455298242778596</v>
      </c>
      <c r="CA17">
        <v>19.751270600252795</v>
      </c>
      <c r="CB17">
        <v>20.512666927855904</v>
      </c>
      <c r="CC17">
        <v>21.981915037162281</v>
      </c>
      <c r="CD17">
        <v>22.725445813991314</v>
      </c>
      <c r="CE17">
        <v>24.365305171469913</v>
      </c>
      <c r="CF17">
        <v>24.05376260921679</v>
      </c>
      <c r="CG17">
        <v>26.366882751388687</v>
      </c>
      <c r="CH17">
        <v>27.505062213503436</v>
      </c>
      <c r="CI17">
        <v>29.663777699933576</v>
      </c>
      <c r="CJ17">
        <v>32.827303035344585</v>
      </c>
      <c r="CK17">
        <v>44.577826629027641</v>
      </c>
      <c r="CL17">
        <v>46.210941265486667</v>
      </c>
      <c r="CM17">
        <v>52.605235566142028</v>
      </c>
      <c r="CN17">
        <v>53.491845747416733</v>
      </c>
      <c r="CO17">
        <v>57.505111482529514</v>
      </c>
      <c r="CP17">
        <v>57.743940916637598</v>
      </c>
      <c r="CQ17">
        <v>63.656095858670483</v>
      </c>
      <c r="CR17">
        <v>65.628867877623406</v>
      </c>
      <c r="CS17">
        <v>70.027025112500041</v>
      </c>
      <c r="CT17">
        <v>71.573984759105088</v>
      </c>
      <c r="CU17">
        <v>74.013984543516585</v>
      </c>
      <c r="CV17">
        <v>75.14669966011013</v>
      </c>
      <c r="CW17">
        <v>88.097619487484963</v>
      </c>
      <c r="CX17">
        <v>91.776554731603937</v>
      </c>
      <c r="CY17">
        <v>107.13502259281995</v>
      </c>
      <c r="CZ17">
        <v>101.92853060998209</v>
      </c>
      <c r="DA17">
        <v>111.64054170406507</v>
      </c>
      <c r="DB17">
        <v>107.02623414422987</v>
      </c>
      <c r="DC17">
        <v>109.021973404655</v>
      </c>
      <c r="DD17">
        <v>107.33582414655712</v>
      </c>
      <c r="DE17">
        <v>105.49540712784892</v>
      </c>
      <c r="DF17">
        <v>125.42518869246078</v>
      </c>
      <c r="DG17">
        <v>129.80885356939507</v>
      </c>
      <c r="DH17">
        <v>133.84791165393699</v>
      </c>
      <c r="DI17">
        <v>137.82899070767508</v>
      </c>
      <c r="DJ17">
        <v>141.63606648686209</v>
      </c>
      <c r="DK17">
        <v>145.21052892174202</v>
      </c>
      <c r="DL17">
        <v>148.78288770366089</v>
      </c>
      <c r="DM17">
        <v>152.34797000546405</v>
      </c>
      <c r="DN17">
        <v>155.87304781049079</v>
      </c>
      <c r="DS17" t="s">
        <v>336</v>
      </c>
    </row>
    <row r="18" spans="1:123" x14ac:dyDescent="0.25">
      <c r="B18" t="s">
        <v>205</v>
      </c>
      <c r="BZ18" s="77">
        <v>11.525455623775727</v>
      </c>
      <c r="CA18">
        <v>12.923150964073884</v>
      </c>
      <c r="CB18">
        <v>13.239759719520208</v>
      </c>
      <c r="CC18">
        <v>14.036579056371906</v>
      </c>
      <c r="CD18">
        <v>14.326876376197006</v>
      </c>
      <c r="CE18">
        <v>15.202480433685793</v>
      </c>
      <c r="CF18">
        <v>14.745096072847304</v>
      </c>
      <c r="CG18">
        <v>16.012683021892997</v>
      </c>
      <c r="CH18">
        <v>16.470145796650513</v>
      </c>
      <c r="CI18">
        <v>17.566006145075789</v>
      </c>
      <c r="CJ18">
        <v>19.279097985892093</v>
      </c>
      <c r="CK18">
        <v>27.318865613134392</v>
      </c>
      <c r="CL18">
        <v>27.939080000382432</v>
      </c>
      <c r="CM18">
        <v>31.579776262234475</v>
      </c>
      <c r="CN18">
        <v>31.722996510489622</v>
      </c>
      <c r="CO18">
        <v>33.880461866967607</v>
      </c>
      <c r="CP18">
        <v>33.714365458323584</v>
      </c>
      <c r="CQ18">
        <v>37.119814418700173</v>
      </c>
      <c r="CR18">
        <v>38.118921202023103</v>
      </c>
      <c r="CS18">
        <v>40.686116275773884</v>
      </c>
      <c r="CT18">
        <v>41.571382664724752</v>
      </c>
      <c r="CU18">
        <v>42.489483565751812</v>
      </c>
      <c r="CV18">
        <v>43.088046208033688</v>
      </c>
      <c r="CW18">
        <v>50.873347737127119</v>
      </c>
      <c r="CX18">
        <v>53.080519140239858</v>
      </c>
      <c r="CY18">
        <v>62.390467044380557</v>
      </c>
      <c r="CZ18">
        <v>59.417814182711368</v>
      </c>
      <c r="DA18">
        <v>65.615730300783298</v>
      </c>
      <c r="DB18">
        <v>63.341503297479449</v>
      </c>
      <c r="DC18">
        <v>65.159450673697961</v>
      </c>
      <c r="DD18">
        <v>64.906340292894129</v>
      </c>
      <c r="DE18">
        <v>58.754576139231858</v>
      </c>
      <c r="DF18">
        <v>65.571317783855193</v>
      </c>
      <c r="DG18">
        <v>67.730724671692997</v>
      </c>
      <c r="DH18">
        <v>69.827604081760001</v>
      </c>
      <c r="DI18">
        <v>71.922503830517826</v>
      </c>
      <c r="DJ18">
        <v>73.940190988868153</v>
      </c>
      <c r="DK18">
        <v>75.850588839071861</v>
      </c>
      <c r="DL18">
        <v>77.784847865306119</v>
      </c>
      <c r="DM18">
        <v>79.728510559981032</v>
      </c>
      <c r="DN18">
        <v>81.652401775038925</v>
      </c>
      <c r="DS18" t="s">
        <v>337</v>
      </c>
    </row>
    <row r="19" spans="1:123" x14ac:dyDescent="0.25">
      <c r="B19" t="s">
        <v>206</v>
      </c>
      <c r="CS19">
        <v>115.3756400758063</v>
      </c>
      <c r="CT19">
        <v>140.09925468396261</v>
      </c>
      <c r="CU19">
        <v>157.45254692019148</v>
      </c>
      <c r="CV19">
        <v>179.37335322464367</v>
      </c>
      <c r="CW19">
        <v>197.0576749042699</v>
      </c>
      <c r="CX19">
        <v>221.45673917605313</v>
      </c>
      <c r="CY19">
        <v>229.97729843026195</v>
      </c>
      <c r="CZ19">
        <v>253.33914654753494</v>
      </c>
      <c r="DA19">
        <v>266.39441494102994</v>
      </c>
      <c r="DB19">
        <v>289.37181730541124</v>
      </c>
      <c r="DC19">
        <v>323.66197820338766</v>
      </c>
      <c r="DD19">
        <v>361.92596024022214</v>
      </c>
      <c r="DE19">
        <v>386.1280157370079</v>
      </c>
      <c r="DF19">
        <v>456.89935399904107</v>
      </c>
      <c r="DG19">
        <v>470.55022069317192</v>
      </c>
      <c r="DH19">
        <v>511.37011636135503</v>
      </c>
      <c r="DI19">
        <v>513.48597583357605</v>
      </c>
      <c r="DJ19">
        <v>587.13585478044661</v>
      </c>
      <c r="DK19">
        <v>625.47553176064685</v>
      </c>
      <c r="DL19">
        <v>687.74684836166034</v>
      </c>
      <c r="DM19">
        <v>720.30853913393184</v>
      </c>
      <c r="DN19">
        <v>784.45684638387684</v>
      </c>
      <c r="DS19" t="s">
        <v>338</v>
      </c>
    </row>
    <row r="20" spans="1:123" x14ac:dyDescent="0.25">
      <c r="B20" t="s">
        <v>207</v>
      </c>
      <c r="CS20">
        <v>77.735502616947201</v>
      </c>
      <c r="CT20">
        <v>93.272960657836961</v>
      </c>
      <c r="CU20">
        <v>103.38780588748483</v>
      </c>
      <c r="CV20">
        <v>116.36739385087935</v>
      </c>
      <c r="CW20">
        <v>126.18500536281988</v>
      </c>
      <c r="CX20">
        <v>140.1853773941325</v>
      </c>
      <c r="CY20">
        <v>143.30281461228776</v>
      </c>
      <c r="CZ20">
        <v>156.01221275338798</v>
      </c>
      <c r="DA20">
        <v>161.68751755366907</v>
      </c>
      <c r="DB20">
        <v>173.54825831068592</v>
      </c>
      <c r="DC20">
        <v>192.32596467754001</v>
      </c>
      <c r="DD20">
        <v>212.04711798386597</v>
      </c>
      <c r="DE20">
        <v>223.68833924686919</v>
      </c>
      <c r="DF20">
        <v>264.12369452776375</v>
      </c>
      <c r="DG20">
        <v>268.90324178885703</v>
      </c>
      <c r="DH20">
        <v>290.62166630525007</v>
      </c>
      <c r="DI20">
        <v>289.00547918288294</v>
      </c>
      <c r="DJ20">
        <v>330.89430260220388</v>
      </c>
      <c r="DK20">
        <v>351.57573149929613</v>
      </c>
      <c r="DL20">
        <v>386.88066297322075</v>
      </c>
      <c r="DM20">
        <v>404.92403083284717</v>
      </c>
      <c r="DN20">
        <v>442.1275416752369</v>
      </c>
      <c r="DS20" t="s">
        <v>339</v>
      </c>
    </row>
    <row r="21" spans="1:123" x14ac:dyDescent="0.25">
      <c r="B21" t="s">
        <v>319</v>
      </c>
      <c r="CY21">
        <f>1100000+2100+8+390000</f>
        <v>1492108</v>
      </c>
      <c r="CZ21">
        <f>1100000+2200+16+410000</f>
        <v>1512216</v>
      </c>
      <c r="DA21">
        <f>33+2300+1100000+430000</f>
        <v>1532333</v>
      </c>
      <c r="DB21">
        <f>66+2400+1100000+440000</f>
        <v>1542466</v>
      </c>
      <c r="DC21">
        <f>130+2600+1100000+470000</f>
        <v>1572730</v>
      </c>
      <c r="DD21">
        <f>260+2700+1100000+490000</f>
        <v>1592960</v>
      </c>
      <c r="DE21">
        <f>520+2900+1100000+510000</f>
        <v>1613420</v>
      </c>
      <c r="DF21">
        <f>620+3100+1100000+540000</f>
        <v>1643720</v>
      </c>
      <c r="DG21">
        <f>660+3200+1100000+560000</f>
        <v>1663860</v>
      </c>
      <c r="DH21">
        <f>670+3500+1100000+600000</f>
        <v>1704170</v>
      </c>
      <c r="DI21">
        <f>470+5100+1100000+630000</f>
        <v>1735570</v>
      </c>
      <c r="DJ21">
        <f>290+5900+1100000+670000</f>
        <v>1776190</v>
      </c>
      <c r="DK21">
        <f>68+6200+1100000+670000</f>
        <v>1776268</v>
      </c>
      <c r="DL21">
        <f>72+6100+1300000+620000</f>
        <v>1926172</v>
      </c>
      <c r="DM21">
        <f>90+6300+1300000+660000</f>
        <v>1966390</v>
      </c>
      <c r="DN21">
        <f>100+5500+1400000+710000</f>
        <v>2115600</v>
      </c>
      <c r="DS21" t="s">
        <v>340</v>
      </c>
    </row>
    <row r="22" spans="1:123" x14ac:dyDescent="0.25">
      <c r="B22" t="s">
        <v>321</v>
      </c>
      <c r="CX22" t="s">
        <v>322</v>
      </c>
      <c r="CY22">
        <v>2.7</v>
      </c>
      <c r="CZ22">
        <v>5.45</v>
      </c>
      <c r="DA22">
        <v>9.8000000000000007</v>
      </c>
      <c r="DB22">
        <v>21</v>
      </c>
      <c r="DC22">
        <v>33</v>
      </c>
      <c r="DD22">
        <v>47</v>
      </c>
      <c r="DE22">
        <v>64.8</v>
      </c>
      <c r="DF22">
        <v>84</v>
      </c>
      <c r="DG22">
        <v>92.55</v>
      </c>
      <c r="DH22">
        <v>121</v>
      </c>
      <c r="DI22">
        <v>160.6</v>
      </c>
      <c r="DJ22">
        <v>208</v>
      </c>
      <c r="DK22">
        <v>231.4</v>
      </c>
      <c r="DL22">
        <v>208.5</v>
      </c>
      <c r="DM22">
        <v>231</v>
      </c>
      <c r="DN22">
        <v>209</v>
      </c>
      <c r="DS22" t="s">
        <v>341</v>
      </c>
    </row>
    <row r="25" spans="1:123" x14ac:dyDescent="0.25">
      <c r="A25" t="s">
        <v>203</v>
      </c>
    </row>
    <row r="26" spans="1:123" x14ac:dyDescent="0.25">
      <c r="B26" t="s">
        <v>108</v>
      </c>
      <c r="C26">
        <v>0</v>
      </c>
      <c r="D26">
        <f>C26+1</f>
        <v>1</v>
      </c>
      <c r="E26">
        <f t="shared" ref="E26:BP26" si="8">D26+1</f>
        <v>2</v>
      </c>
      <c r="F26">
        <f t="shared" si="8"/>
        <v>3</v>
      </c>
      <c r="G26">
        <f t="shared" si="8"/>
        <v>4</v>
      </c>
      <c r="H26">
        <f t="shared" si="8"/>
        <v>5</v>
      </c>
      <c r="I26">
        <f t="shared" si="8"/>
        <v>6</v>
      </c>
      <c r="J26">
        <f t="shared" si="8"/>
        <v>7</v>
      </c>
      <c r="K26">
        <f t="shared" si="8"/>
        <v>8</v>
      </c>
      <c r="L26">
        <f t="shared" si="8"/>
        <v>9</v>
      </c>
      <c r="M26">
        <f t="shared" si="8"/>
        <v>10</v>
      </c>
      <c r="N26">
        <f t="shared" si="8"/>
        <v>11</v>
      </c>
      <c r="O26">
        <f t="shared" si="8"/>
        <v>12</v>
      </c>
      <c r="P26">
        <f t="shared" si="8"/>
        <v>13</v>
      </c>
      <c r="Q26">
        <f t="shared" si="8"/>
        <v>14</v>
      </c>
      <c r="R26">
        <f t="shared" si="8"/>
        <v>15</v>
      </c>
      <c r="S26">
        <f t="shared" si="8"/>
        <v>16</v>
      </c>
      <c r="T26">
        <f t="shared" si="8"/>
        <v>17</v>
      </c>
      <c r="U26">
        <f t="shared" si="8"/>
        <v>18</v>
      </c>
      <c r="V26">
        <f t="shared" si="8"/>
        <v>19</v>
      </c>
      <c r="W26">
        <f t="shared" si="8"/>
        <v>20</v>
      </c>
      <c r="X26">
        <f t="shared" si="8"/>
        <v>21</v>
      </c>
      <c r="Y26">
        <f t="shared" si="8"/>
        <v>22</v>
      </c>
      <c r="Z26">
        <f t="shared" si="8"/>
        <v>23</v>
      </c>
      <c r="AA26">
        <f t="shared" si="8"/>
        <v>24</v>
      </c>
      <c r="AB26">
        <f t="shared" si="8"/>
        <v>25</v>
      </c>
      <c r="AC26">
        <f t="shared" si="8"/>
        <v>26</v>
      </c>
      <c r="AD26">
        <f t="shared" si="8"/>
        <v>27</v>
      </c>
      <c r="AE26">
        <f t="shared" si="8"/>
        <v>28</v>
      </c>
      <c r="AF26">
        <f t="shared" si="8"/>
        <v>29</v>
      </c>
      <c r="AG26">
        <f t="shared" si="8"/>
        <v>30</v>
      </c>
      <c r="AH26">
        <f t="shared" si="8"/>
        <v>31</v>
      </c>
      <c r="AI26">
        <f t="shared" si="8"/>
        <v>32</v>
      </c>
      <c r="AJ26">
        <f t="shared" si="8"/>
        <v>33</v>
      </c>
      <c r="AK26">
        <f t="shared" si="8"/>
        <v>34</v>
      </c>
      <c r="AL26">
        <f t="shared" si="8"/>
        <v>35</v>
      </c>
      <c r="AM26">
        <f t="shared" si="8"/>
        <v>36</v>
      </c>
      <c r="AN26">
        <f t="shared" si="8"/>
        <v>37</v>
      </c>
      <c r="AO26">
        <f t="shared" si="8"/>
        <v>38</v>
      </c>
      <c r="AP26">
        <f t="shared" si="8"/>
        <v>39</v>
      </c>
      <c r="AQ26">
        <f t="shared" si="8"/>
        <v>40</v>
      </c>
      <c r="AR26">
        <f t="shared" si="8"/>
        <v>41</v>
      </c>
      <c r="AS26">
        <f t="shared" si="8"/>
        <v>42</v>
      </c>
      <c r="AT26">
        <f t="shared" si="8"/>
        <v>43</v>
      </c>
      <c r="AU26">
        <f t="shared" si="8"/>
        <v>44</v>
      </c>
      <c r="AV26">
        <f t="shared" si="8"/>
        <v>45</v>
      </c>
      <c r="AW26">
        <f t="shared" si="8"/>
        <v>46</v>
      </c>
      <c r="AX26">
        <f t="shared" si="8"/>
        <v>47</v>
      </c>
      <c r="AY26">
        <f t="shared" si="8"/>
        <v>48</v>
      </c>
      <c r="AZ26">
        <f t="shared" si="8"/>
        <v>49</v>
      </c>
      <c r="BA26">
        <f t="shared" si="8"/>
        <v>50</v>
      </c>
      <c r="BB26">
        <f t="shared" si="8"/>
        <v>51</v>
      </c>
      <c r="BC26">
        <f t="shared" si="8"/>
        <v>52</v>
      </c>
      <c r="BD26">
        <f t="shared" si="8"/>
        <v>53</v>
      </c>
      <c r="BE26">
        <f t="shared" si="8"/>
        <v>54</v>
      </c>
      <c r="BF26">
        <f t="shared" si="8"/>
        <v>55</v>
      </c>
      <c r="BG26">
        <f t="shared" si="8"/>
        <v>56</v>
      </c>
      <c r="BH26">
        <f t="shared" si="8"/>
        <v>57</v>
      </c>
      <c r="BI26">
        <f t="shared" si="8"/>
        <v>58</v>
      </c>
      <c r="BJ26">
        <f t="shared" si="8"/>
        <v>59</v>
      </c>
      <c r="BK26">
        <f t="shared" si="8"/>
        <v>60</v>
      </c>
      <c r="BL26">
        <f t="shared" si="8"/>
        <v>61</v>
      </c>
      <c r="BM26">
        <f t="shared" si="8"/>
        <v>62</v>
      </c>
      <c r="BN26">
        <f t="shared" si="8"/>
        <v>63</v>
      </c>
      <c r="BO26">
        <f t="shared" si="8"/>
        <v>64</v>
      </c>
      <c r="BP26">
        <f t="shared" si="8"/>
        <v>65</v>
      </c>
      <c r="BQ26">
        <f>BP26+1</f>
        <v>66</v>
      </c>
      <c r="BR26">
        <f>BQ26+1</f>
        <v>67</v>
      </c>
      <c r="BS26">
        <f>BR26+1</f>
        <v>68</v>
      </c>
      <c r="BT26">
        <f>BS26+1</f>
        <v>69</v>
      </c>
    </row>
    <row r="27" spans="1:123" x14ac:dyDescent="0.25">
      <c r="B27" t="s">
        <v>199</v>
      </c>
      <c r="C27">
        <v>1.7857142857142856E-2</v>
      </c>
      <c r="D27">
        <v>2.1133004926108374E-2</v>
      </c>
      <c r="E27">
        <v>2.5123152709359605E-2</v>
      </c>
      <c r="F27">
        <v>2.832512315270936E-2</v>
      </c>
      <c r="G27">
        <v>3.2758620689655175E-2</v>
      </c>
      <c r="H27">
        <v>3.6699507389162563E-2</v>
      </c>
      <c r="I27">
        <v>3.9655172413793106E-2</v>
      </c>
      <c r="J27">
        <v>4.3842364532019708E-2</v>
      </c>
      <c r="K27">
        <v>4.8004926108374382E-2</v>
      </c>
      <c r="L27">
        <v>5.3522167487684728E-2</v>
      </c>
      <c r="M27">
        <v>5.7980295566502464E-2</v>
      </c>
      <c r="N27">
        <v>6.0812807881773401E-2</v>
      </c>
      <c r="O27">
        <v>6.4655172413793108E-2</v>
      </c>
      <c r="P27">
        <v>7.2487684729064042E-2</v>
      </c>
      <c r="Q27">
        <v>7.7955665024630541E-2</v>
      </c>
      <c r="R27">
        <v>8.2068965517241382E-2</v>
      </c>
      <c r="S27">
        <v>8.8300492610837444E-2</v>
      </c>
      <c r="T27">
        <v>9.3103448275862075E-2</v>
      </c>
      <c r="U27">
        <v>0.10236453201970443</v>
      </c>
      <c r="V27">
        <v>0.1067487684729064</v>
      </c>
      <c r="W27">
        <v>0.11433497536945812</v>
      </c>
      <c r="X27">
        <v>0.11817733990147783</v>
      </c>
      <c r="Y27">
        <v>0.12689655172413794</v>
      </c>
      <c r="Z27">
        <v>0.13376847290640395</v>
      </c>
      <c r="AA27">
        <v>0.14083743842364532</v>
      </c>
      <c r="AB27">
        <v>0.14532019704433496</v>
      </c>
      <c r="AC27">
        <v>0.16280788177339903</v>
      </c>
      <c r="AD27">
        <v>0.17290640394088669</v>
      </c>
      <c r="AE27">
        <v>0.17320197044334976</v>
      </c>
      <c r="AF27">
        <v>0.17295566502463053</v>
      </c>
      <c r="AG27">
        <v>0.18113300492610837</v>
      </c>
      <c r="AH27">
        <v>0.19633004926108374</v>
      </c>
      <c r="AI27">
        <v>0.21009852216748767</v>
      </c>
      <c r="AJ27">
        <v>0.21487684729064038</v>
      </c>
      <c r="AK27">
        <v>0.21751231527093595</v>
      </c>
      <c r="AL27">
        <v>0.21839901477832513</v>
      </c>
      <c r="AM27">
        <v>0.21857142857142858</v>
      </c>
      <c r="AN27">
        <v>0.22576354679802957</v>
      </c>
      <c r="AO27">
        <v>0.23179802955665024</v>
      </c>
      <c r="AP27">
        <v>0.23630541871921182</v>
      </c>
      <c r="AQ27">
        <v>0.24827586206896551</v>
      </c>
      <c r="AR27">
        <v>0.25935960591133006</v>
      </c>
      <c r="AS27">
        <v>0.27536945812807884</v>
      </c>
      <c r="AT27">
        <v>0.28300492610837441</v>
      </c>
      <c r="AU27">
        <v>0.2857142857142857</v>
      </c>
      <c r="AV27">
        <v>0.29113300492610839</v>
      </c>
      <c r="AW27">
        <v>0.30320197044334973</v>
      </c>
      <c r="AX27">
        <v>0.31798029556650248</v>
      </c>
      <c r="AY27">
        <v>0.33743842364532017</v>
      </c>
      <c r="AZ27">
        <v>0.35591133004926107</v>
      </c>
      <c r="BA27">
        <v>0.36773399014778324</v>
      </c>
      <c r="BB27">
        <v>0.38103448275862067</v>
      </c>
      <c r="BC27">
        <v>0.37931034482758619</v>
      </c>
      <c r="BD27">
        <v>0.39408866995073893</v>
      </c>
      <c r="BE27">
        <v>0.40886699507389163</v>
      </c>
      <c r="BF27">
        <v>0.43103448275862066</v>
      </c>
      <c r="BG27">
        <v>0.45566502463054187</v>
      </c>
      <c r="BH27">
        <v>0.49753694581280788</v>
      </c>
      <c r="BI27">
        <v>0.53940886699507384</v>
      </c>
      <c r="BJ27">
        <v>0.5788177339901478</v>
      </c>
      <c r="BK27">
        <v>0.64532019704433496</v>
      </c>
      <c r="BL27">
        <v>0.69211822660098521</v>
      </c>
      <c r="BM27">
        <v>0.70197044334975367</v>
      </c>
      <c r="BN27">
        <v>0.75123152709359609</v>
      </c>
      <c r="BO27">
        <v>0.81034482758620685</v>
      </c>
      <c r="BP27">
        <v>0.89408866995073888</v>
      </c>
      <c r="BQ27">
        <v>0.94088669950738912</v>
      </c>
      <c r="BR27">
        <v>1.0024630541871922</v>
      </c>
      <c r="BS27">
        <v>1.0295566502463054</v>
      </c>
      <c r="BT27">
        <v>1</v>
      </c>
    </row>
    <row r="28" spans="1:123" x14ac:dyDescent="0.25">
      <c r="B28" t="s">
        <v>201</v>
      </c>
      <c r="C28">
        <v>1.3739130434782608E-2</v>
      </c>
      <c r="D28">
        <v>1.8782608695652174E-2</v>
      </c>
      <c r="E28">
        <v>2.2086956521739129E-2</v>
      </c>
      <c r="F28">
        <v>2.2782608695652174E-2</v>
      </c>
      <c r="G28">
        <v>2.5913043478260869E-2</v>
      </c>
      <c r="H28">
        <v>3.1304347826086959E-2</v>
      </c>
      <c r="I28">
        <v>3.5826086956521737E-2</v>
      </c>
      <c r="J28">
        <v>4.2956521739130435E-2</v>
      </c>
      <c r="K28">
        <v>4.8869565217391303E-2</v>
      </c>
      <c r="L28">
        <v>5.4608695652173911E-2</v>
      </c>
      <c r="M28">
        <v>5.8608695652173914E-2</v>
      </c>
      <c r="N28">
        <v>5.8608695652173914E-2</v>
      </c>
      <c r="O28">
        <v>6.1043478260869567E-2</v>
      </c>
      <c r="P28">
        <v>7.0608695652173911E-2</v>
      </c>
      <c r="Q28">
        <v>7.8086956521739137E-2</v>
      </c>
      <c r="R28">
        <v>8.1739130434782606E-2</v>
      </c>
      <c r="S28">
        <v>8.7999999999999995E-2</v>
      </c>
      <c r="T28">
        <v>9.252173913043478E-2</v>
      </c>
      <c r="U28">
        <v>0.10330434782608695</v>
      </c>
      <c r="V28">
        <v>0.1097391304347826</v>
      </c>
      <c r="W28">
        <v>0.11965217391304347</v>
      </c>
      <c r="X28">
        <v>0.13165217391304349</v>
      </c>
      <c r="Y28">
        <v>0.13947826086956522</v>
      </c>
      <c r="Z28">
        <v>0.156</v>
      </c>
      <c r="AA28">
        <v>0.16782608695652174</v>
      </c>
      <c r="AB28">
        <v>0.17913043478260871</v>
      </c>
      <c r="AC28">
        <v>0.19130434782608696</v>
      </c>
      <c r="AD28">
        <v>0.21043478260869566</v>
      </c>
      <c r="AE28">
        <v>0.22956521739130434</v>
      </c>
      <c r="AF28">
        <v>0.21043478260869566</v>
      </c>
      <c r="AG28">
        <v>0.21913043478260869</v>
      </c>
      <c r="AH28">
        <v>0.24</v>
      </c>
      <c r="AI28">
        <v>0.24521739130434783</v>
      </c>
      <c r="AJ28">
        <v>0.25391304347826088</v>
      </c>
      <c r="AK28">
        <v>0.26782608695652171</v>
      </c>
      <c r="AL28">
        <v>0.26260869565217393</v>
      </c>
      <c r="AM28">
        <v>0.23304347826086957</v>
      </c>
      <c r="AN28">
        <v>0.2417391304347826</v>
      </c>
      <c r="AO28">
        <v>0.27304347826086955</v>
      </c>
      <c r="AP28">
        <v>0.26782608695652171</v>
      </c>
      <c r="AQ28">
        <v>0.26782608695652171</v>
      </c>
      <c r="AR28">
        <v>0.28695652173913044</v>
      </c>
      <c r="AS28">
        <v>0.32173913043478258</v>
      </c>
      <c r="AT28">
        <v>0.33043478260869563</v>
      </c>
      <c r="AU28">
        <v>0.33565217391304347</v>
      </c>
      <c r="AV28">
        <v>0.34260869565217389</v>
      </c>
      <c r="AW28">
        <v>0.33913043478260868</v>
      </c>
      <c r="AX28">
        <v>0.34434782608695652</v>
      </c>
      <c r="AY28">
        <v>0.3339130434782609</v>
      </c>
      <c r="AZ28">
        <v>0.34260869565217389</v>
      </c>
      <c r="BA28">
        <v>0.36173913043478262</v>
      </c>
      <c r="BB28">
        <v>0.37739130434782608</v>
      </c>
      <c r="BC28">
        <v>0.39304347826086955</v>
      </c>
      <c r="BD28">
        <v>0.41043478260869565</v>
      </c>
      <c r="BE28">
        <v>0.4226086956521739</v>
      </c>
      <c r="BF28">
        <v>0.4226086956521739</v>
      </c>
      <c r="BG28">
        <v>0.45391304347826089</v>
      </c>
      <c r="BH28">
        <v>0.48695652173913045</v>
      </c>
      <c r="BI28">
        <v>0.52</v>
      </c>
      <c r="BJ28">
        <v>0.55478260869565221</v>
      </c>
      <c r="BK28">
        <v>0.5895652173913043</v>
      </c>
      <c r="BL28">
        <v>0.65913043478260869</v>
      </c>
      <c r="BM28">
        <v>0.69043478260869562</v>
      </c>
      <c r="BN28">
        <v>0.64695652173913043</v>
      </c>
      <c r="BO28">
        <v>0.72695652173913039</v>
      </c>
      <c r="BP28">
        <v>0.81391304347826088</v>
      </c>
      <c r="BQ28">
        <v>0.85565217391304349</v>
      </c>
      <c r="BR28">
        <v>0.90260869565217394</v>
      </c>
      <c r="BS28">
        <v>0.93913043478260871</v>
      </c>
      <c r="BT28">
        <v>1</v>
      </c>
      <c r="CK28" t="s">
        <v>314</v>
      </c>
      <c r="CL28" t="s">
        <v>315</v>
      </c>
      <c r="CM28" s="20">
        <f>((DN17/BZ17)^(1/(DN14-BZ14)))-1</f>
        <v>5.626063293909711E-2</v>
      </c>
    </row>
    <row r="29" spans="1:123" x14ac:dyDescent="0.25">
      <c r="B29" t="s">
        <v>204</v>
      </c>
      <c r="AF29">
        <f t="shared" ref="AF29:BT29" si="9">BZ17/$DN$17</f>
        <v>0.11198406965135248</v>
      </c>
      <c r="AG29">
        <f t="shared" si="9"/>
        <v>0.12671382819348109</v>
      </c>
      <c r="AH29">
        <f t="shared" si="9"/>
        <v>0.13159854904996174</v>
      </c>
      <c r="AI29">
        <f t="shared" si="9"/>
        <v>0.14102447694413289</v>
      </c>
      <c r="AJ29">
        <f t="shared" si="9"/>
        <v>0.14579458176516014</v>
      </c>
      <c r="AK29">
        <f t="shared" si="9"/>
        <v>0.15631506224920333</v>
      </c>
      <c r="AL29">
        <f t="shared" si="9"/>
        <v>0.15431636801290471</v>
      </c>
      <c r="AM29">
        <f t="shared" si="9"/>
        <v>0.16915613777851662</v>
      </c>
      <c r="AN29">
        <f t="shared" si="9"/>
        <v>0.17645810228169703</v>
      </c>
      <c r="AO29">
        <f t="shared" si="9"/>
        <v>0.19030729248329423</v>
      </c>
      <c r="AP29">
        <f t="shared" si="9"/>
        <v>0.21060281746242468</v>
      </c>
      <c r="AQ29">
        <f t="shared" si="9"/>
        <v>0.285988034847596</v>
      </c>
      <c r="AR29">
        <f t="shared" si="9"/>
        <v>0.29646524472703939</v>
      </c>
      <c r="AS29">
        <f t="shared" si="9"/>
        <v>0.33748769466610451</v>
      </c>
      <c r="AT29">
        <f t="shared" si="9"/>
        <v>0.34317572215853309</v>
      </c>
      <c r="AU29">
        <f t="shared" si="9"/>
        <v>0.3689227373833337</v>
      </c>
      <c r="AV29">
        <f t="shared" si="9"/>
        <v>0.37045494219656383</v>
      </c>
      <c r="AW29">
        <f t="shared" si="9"/>
        <v>0.40838423802467155</v>
      </c>
      <c r="AX29">
        <f t="shared" si="9"/>
        <v>0.42104051213147808</v>
      </c>
      <c r="AY29">
        <f t="shared" si="9"/>
        <v>0.44925679003619884</v>
      </c>
      <c r="AZ29">
        <f t="shared" si="9"/>
        <v>0.45918127453390256</v>
      </c>
      <c r="BA29">
        <f t="shared" si="9"/>
        <v>0.47483503776420793</v>
      </c>
      <c r="BB29">
        <f t="shared" si="9"/>
        <v>0.48210194588273458</v>
      </c>
      <c r="BC29">
        <f t="shared" si="9"/>
        <v>0.56518827805685401</v>
      </c>
      <c r="BD29">
        <f t="shared" si="9"/>
        <v>0.58879040360579293</v>
      </c>
      <c r="BE29">
        <f t="shared" si="9"/>
        <v>0.68732230554106988</v>
      </c>
      <c r="BF29">
        <f t="shared" si="9"/>
        <v>0.65392017440953609</v>
      </c>
      <c r="BG29">
        <f t="shared" si="9"/>
        <v>0.71622736112658014</v>
      </c>
      <c r="BH29">
        <f t="shared" si="9"/>
        <v>0.68662437571857526</v>
      </c>
      <c r="BI29">
        <f t="shared" si="9"/>
        <v>0.69942799564170355</v>
      </c>
      <c r="BJ29">
        <f t="shared" si="9"/>
        <v>0.68861054335099137</v>
      </c>
      <c r="BK29">
        <f t="shared" si="9"/>
        <v>0.67680338974387289</v>
      </c>
      <c r="BL29">
        <f t="shared" si="9"/>
        <v>0.80466245097710365</v>
      </c>
      <c r="BM29">
        <f t="shared" si="9"/>
        <v>0.83278575348841344</v>
      </c>
      <c r="BN29">
        <f t="shared" si="9"/>
        <v>0.85869823894550534</v>
      </c>
      <c r="BO29">
        <f t="shared" si="9"/>
        <v>0.88423876124656564</v>
      </c>
      <c r="BP29">
        <f t="shared" si="9"/>
        <v>0.90866296948951752</v>
      </c>
      <c r="BQ29">
        <f t="shared" si="9"/>
        <v>0.9315948521022559</v>
      </c>
      <c r="BR29">
        <f t="shared" si="9"/>
        <v>0.9545132387771742</v>
      </c>
      <c r="BS29">
        <f t="shared" si="9"/>
        <v>0.97738494335908221</v>
      </c>
      <c r="BT29">
        <f t="shared" si="9"/>
        <v>1</v>
      </c>
      <c r="CL29" t="s">
        <v>316</v>
      </c>
      <c r="CM29" s="20">
        <f>((DN19/CS19)^(1/(DN14-CS14)))-1</f>
        <v>9.5571462377357363E-2</v>
      </c>
    </row>
    <row r="30" spans="1:123" x14ac:dyDescent="0.25">
      <c r="B30" t="s">
        <v>205</v>
      </c>
      <c r="AF30">
        <f t="shared" ref="AF30:BT30" si="10">BZ18/$DN$18</f>
        <v>0.14115268348786097</v>
      </c>
      <c r="AG30">
        <f t="shared" si="10"/>
        <v>0.15827031028038271</v>
      </c>
      <c r="AH30">
        <f t="shared" si="10"/>
        <v>0.16214782947839254</v>
      </c>
      <c r="AI30">
        <f t="shared" si="10"/>
        <v>0.17190650551889677</v>
      </c>
      <c r="AJ30">
        <f t="shared" si="10"/>
        <v>0.17546178758671518</v>
      </c>
      <c r="AK30">
        <f t="shared" si="10"/>
        <v>0.18618534302971573</v>
      </c>
      <c r="AL30">
        <f t="shared" si="10"/>
        <v>0.18058373975907796</v>
      </c>
      <c r="AM30">
        <f t="shared" si="10"/>
        <v>0.19610792424709864</v>
      </c>
      <c r="AN30">
        <f t="shared" si="10"/>
        <v>0.20171048785591783</v>
      </c>
      <c r="AO30">
        <f t="shared" si="10"/>
        <v>0.21513153028213439</v>
      </c>
      <c r="AP30">
        <f t="shared" si="10"/>
        <v>0.2361118297414945</v>
      </c>
      <c r="AQ30">
        <f t="shared" si="10"/>
        <v>0.33457516275394789</v>
      </c>
      <c r="AR30">
        <f t="shared" si="10"/>
        <v>0.34217095141129561</v>
      </c>
      <c r="AS30">
        <f t="shared" si="10"/>
        <v>0.3867586938745553</v>
      </c>
      <c r="AT30">
        <f t="shared" si="10"/>
        <v>0.3885127175792068</v>
      </c>
      <c r="AU30">
        <f t="shared" si="10"/>
        <v>0.41493527600464092</v>
      </c>
      <c r="AV30">
        <f t="shared" si="10"/>
        <v>0.41290108711327633</v>
      </c>
      <c r="AW30">
        <f t="shared" si="10"/>
        <v>0.45460774712995239</v>
      </c>
      <c r="AX30">
        <f t="shared" si="10"/>
        <v>0.46684384504750753</v>
      </c>
      <c r="AY30">
        <f t="shared" si="10"/>
        <v>0.49828437855224972</v>
      </c>
      <c r="AZ30">
        <f t="shared" si="10"/>
        <v>0.5091262689278675</v>
      </c>
      <c r="BA30">
        <f t="shared" si="10"/>
        <v>0.52037028479351866</v>
      </c>
      <c r="BB30">
        <f t="shared" si="10"/>
        <v>0.52770090372535339</v>
      </c>
      <c r="BC30">
        <f t="shared" si="10"/>
        <v>0.62304778097389735</v>
      </c>
      <c r="BD30">
        <f t="shared" si="10"/>
        <v>0.65007909120030971</v>
      </c>
      <c r="BE30">
        <f t="shared" si="10"/>
        <v>0.76409836928340391</v>
      </c>
      <c r="BF30">
        <f t="shared" si="10"/>
        <v>0.72769217917696749</v>
      </c>
      <c r="BG30">
        <f t="shared" si="10"/>
        <v>0.80359828828503577</v>
      </c>
      <c r="BH30">
        <f t="shared" si="10"/>
        <v>0.77574574563026388</v>
      </c>
      <c r="BI30">
        <f t="shared" si="10"/>
        <v>0.79801021472974176</v>
      </c>
      <c r="BJ30">
        <f t="shared" si="10"/>
        <v>0.79491036248655633</v>
      </c>
      <c r="BK30">
        <f t="shared" si="10"/>
        <v>0.71956947820233119</v>
      </c>
      <c r="BL30">
        <f t="shared" si="10"/>
        <v>0.80305436653916396</v>
      </c>
      <c r="BM30">
        <f t="shared" si="10"/>
        <v>0.82950070297133904</v>
      </c>
      <c r="BN30">
        <f t="shared" si="10"/>
        <v>0.85518126305877074</v>
      </c>
      <c r="BO30">
        <f t="shared" si="10"/>
        <v>0.88083757816055419</v>
      </c>
      <c r="BP30">
        <f t="shared" si="10"/>
        <v>0.90554826779720776</v>
      </c>
      <c r="BQ30">
        <f t="shared" si="10"/>
        <v>0.92894498128846625</v>
      </c>
      <c r="BR30">
        <f t="shared" si="10"/>
        <v>0.95263392348961973</v>
      </c>
      <c r="BS30">
        <f t="shared" si="10"/>
        <v>0.9764380327677511</v>
      </c>
      <c r="BT30">
        <f t="shared" si="10"/>
        <v>1</v>
      </c>
    </row>
    <row r="31" spans="1:123" x14ac:dyDescent="0.25">
      <c r="B31" t="s">
        <v>206</v>
      </c>
      <c r="AY31">
        <f t="shared" ref="AY31:BK31" si="11">CS19/$DN$19</f>
        <v>0.14707710259354001</v>
      </c>
      <c r="AZ31">
        <f t="shared" si="11"/>
        <v>0.17859396004991271</v>
      </c>
      <c r="BA31">
        <f t="shared" si="11"/>
        <v>0.20071537095507927</v>
      </c>
      <c r="BB31">
        <f t="shared" si="11"/>
        <v>0.22865929980916586</v>
      </c>
      <c r="BC31">
        <f t="shared" si="11"/>
        <v>0.25120269625110647</v>
      </c>
      <c r="BD31">
        <f t="shared" si="11"/>
        <v>0.28230582752500127</v>
      </c>
      <c r="BE31">
        <f t="shared" si="11"/>
        <v>0.29316755853478998</v>
      </c>
      <c r="BF31">
        <f t="shared" si="11"/>
        <v>0.32294848048730329</v>
      </c>
      <c r="BG31">
        <f t="shared" si="11"/>
        <v>0.33959091079264908</v>
      </c>
      <c r="BH31">
        <f t="shared" si="11"/>
        <v>0.36888175383940253</v>
      </c>
      <c r="BI31">
        <f t="shared" si="11"/>
        <v>0.41259373246008041</v>
      </c>
      <c r="BJ31">
        <f t="shared" si="11"/>
        <v>0.46137140864866943</v>
      </c>
      <c r="BK31">
        <f t="shared" si="11"/>
        <v>0.49222339956231925</v>
      </c>
      <c r="BL31">
        <f t="shared" ref="BL31:BT31" si="12">DF19/$DN$19</f>
        <v>0.58244039312706275</v>
      </c>
      <c r="BM31">
        <f t="shared" si="12"/>
        <v>0.59984207271856282</v>
      </c>
      <c r="BN31">
        <f t="shared" si="12"/>
        <v>0.6518779442344419</v>
      </c>
      <c r="BO31">
        <f t="shared" si="12"/>
        <v>0.65457517287356282</v>
      </c>
      <c r="BP31">
        <f t="shared" si="12"/>
        <v>0.74846163620978778</v>
      </c>
      <c r="BQ31">
        <f t="shared" si="12"/>
        <v>0.79733580584312735</v>
      </c>
      <c r="BR31">
        <f t="shared" si="12"/>
        <v>0.87671724905197512</v>
      </c>
      <c r="BS31">
        <f t="shared" si="12"/>
        <v>0.91822583033642902</v>
      </c>
      <c r="BT31">
        <f t="shared" si="12"/>
        <v>1</v>
      </c>
    </row>
    <row r="32" spans="1:123" x14ac:dyDescent="0.25">
      <c r="B32" t="s">
        <v>207</v>
      </c>
      <c r="AY32">
        <f t="shared" ref="AY32:BK32" si="13">CS20/$DN$20</f>
        <v>0.1758214435644625</v>
      </c>
      <c r="AZ32">
        <f t="shared" si="13"/>
        <v>0.21096392299928299</v>
      </c>
      <c r="BA32">
        <f t="shared" si="13"/>
        <v>0.23384158674156505</v>
      </c>
      <c r="BB32">
        <f t="shared" si="13"/>
        <v>0.26319869920330946</v>
      </c>
      <c r="BC32">
        <f t="shared" si="13"/>
        <v>0.2854040824615911</v>
      </c>
      <c r="BD32">
        <f t="shared" si="13"/>
        <v>0.3170699949226532</v>
      </c>
      <c r="BE32">
        <f t="shared" si="13"/>
        <v>0.32412098569862519</v>
      </c>
      <c r="BF32">
        <f t="shared" si="13"/>
        <v>0.35286698530983207</v>
      </c>
      <c r="BG32">
        <f t="shared" si="13"/>
        <v>0.36570333741487659</v>
      </c>
      <c r="BH32">
        <f t="shared" si="13"/>
        <v>0.39252985157428882</v>
      </c>
      <c r="BI32">
        <f t="shared" si="13"/>
        <v>0.43500109481714289</v>
      </c>
      <c r="BJ32">
        <f t="shared" si="13"/>
        <v>0.47960621765477884</v>
      </c>
      <c r="BK32">
        <f t="shared" si="13"/>
        <v>0.50593622464528254</v>
      </c>
      <c r="BL32">
        <f t="shared" ref="BL32:BT32" si="14">DF20/$DN$20</f>
        <v>0.59739253864844</v>
      </c>
      <c r="BM32">
        <f t="shared" si="14"/>
        <v>0.60820287460485523</v>
      </c>
      <c r="BN32">
        <f t="shared" si="14"/>
        <v>0.65732540706257359</v>
      </c>
      <c r="BO32">
        <f t="shared" si="14"/>
        <v>0.65366992992074402</v>
      </c>
      <c r="BP32">
        <f t="shared" si="14"/>
        <v>0.74841368476714587</v>
      </c>
      <c r="BQ32">
        <f t="shared" si="14"/>
        <v>0.79519075008800233</v>
      </c>
      <c r="BR32">
        <f t="shared" si="14"/>
        <v>0.87504311879625551</v>
      </c>
      <c r="BS32">
        <f t="shared" si="14"/>
        <v>0.91585344196965357</v>
      </c>
      <c r="BT32">
        <f t="shared" si="14"/>
        <v>1</v>
      </c>
    </row>
    <row r="33" spans="2:2" x14ac:dyDescent="0.25">
      <c r="B33" t="s">
        <v>208</v>
      </c>
    </row>
    <row r="34" spans="2:2" x14ac:dyDescent="0.25">
      <c r="B34" t="s">
        <v>209</v>
      </c>
    </row>
    <row r="66" spans="1:72" x14ac:dyDescent="0.25">
      <c r="A66" t="s">
        <v>203</v>
      </c>
    </row>
    <row r="67" spans="1:72" x14ac:dyDescent="0.25">
      <c r="B67" t="s">
        <v>108</v>
      </c>
      <c r="C67">
        <v>0</v>
      </c>
      <c r="D67">
        <v>1</v>
      </c>
      <c r="E67">
        <v>2</v>
      </c>
      <c r="F67">
        <v>3</v>
      </c>
      <c r="G67">
        <v>4</v>
      </c>
      <c r="H67">
        <v>5</v>
      </c>
      <c r="I67">
        <v>6</v>
      </c>
      <c r="J67">
        <v>7</v>
      </c>
      <c r="K67">
        <v>8</v>
      </c>
      <c r="L67">
        <v>9</v>
      </c>
      <c r="M67">
        <v>10</v>
      </c>
      <c r="N67">
        <v>11</v>
      </c>
      <c r="O67">
        <v>12</v>
      </c>
      <c r="P67">
        <v>13</v>
      </c>
      <c r="Q67">
        <v>14</v>
      </c>
      <c r="R67">
        <v>15</v>
      </c>
      <c r="S67">
        <v>16</v>
      </c>
      <c r="T67">
        <v>17</v>
      </c>
      <c r="U67">
        <v>18</v>
      </c>
      <c r="V67">
        <v>19</v>
      </c>
      <c r="W67">
        <v>20</v>
      </c>
      <c r="X67">
        <v>21</v>
      </c>
      <c r="Y67">
        <v>22</v>
      </c>
      <c r="Z67">
        <v>23</v>
      </c>
      <c r="AA67">
        <v>24</v>
      </c>
      <c r="AB67">
        <v>25</v>
      </c>
      <c r="AC67">
        <v>26</v>
      </c>
      <c r="AD67">
        <v>27</v>
      </c>
      <c r="AE67">
        <v>28</v>
      </c>
      <c r="AF67">
        <v>29</v>
      </c>
      <c r="AG67">
        <v>30</v>
      </c>
      <c r="AH67">
        <v>31</v>
      </c>
      <c r="AI67">
        <v>32</v>
      </c>
      <c r="AJ67">
        <v>33</v>
      </c>
      <c r="AK67">
        <v>34</v>
      </c>
      <c r="AL67">
        <v>35</v>
      </c>
      <c r="AM67">
        <v>36</v>
      </c>
      <c r="AN67">
        <v>37</v>
      </c>
      <c r="AO67">
        <v>38</v>
      </c>
      <c r="AP67">
        <v>39</v>
      </c>
      <c r="AQ67">
        <v>40</v>
      </c>
      <c r="AR67">
        <v>41</v>
      </c>
      <c r="AS67">
        <v>42</v>
      </c>
      <c r="AT67">
        <v>43</v>
      </c>
      <c r="AU67">
        <v>44</v>
      </c>
      <c r="AV67">
        <v>45</v>
      </c>
      <c r="AW67">
        <v>46</v>
      </c>
      <c r="AX67">
        <v>47</v>
      </c>
      <c r="AY67">
        <v>48</v>
      </c>
      <c r="AZ67">
        <v>49</v>
      </c>
      <c r="BA67">
        <v>50</v>
      </c>
      <c r="BB67">
        <v>51</v>
      </c>
      <c r="BC67">
        <v>52</v>
      </c>
      <c r="BD67">
        <v>53</v>
      </c>
      <c r="BE67">
        <v>54</v>
      </c>
      <c r="BF67">
        <v>55</v>
      </c>
      <c r="BG67">
        <v>56</v>
      </c>
      <c r="BH67">
        <v>57</v>
      </c>
      <c r="BI67">
        <v>58</v>
      </c>
      <c r="BJ67">
        <v>59</v>
      </c>
      <c r="BK67">
        <v>60</v>
      </c>
      <c r="BL67">
        <v>61</v>
      </c>
      <c r="BM67">
        <v>62</v>
      </c>
      <c r="BN67">
        <v>63</v>
      </c>
      <c r="BO67">
        <v>64</v>
      </c>
      <c r="BP67">
        <v>65</v>
      </c>
      <c r="BQ67">
        <v>66</v>
      </c>
      <c r="BR67">
        <v>67</v>
      </c>
      <c r="BS67">
        <v>68</v>
      </c>
      <c r="BT67">
        <v>69</v>
      </c>
    </row>
    <row r="68" spans="1:72" x14ac:dyDescent="0.25">
      <c r="B68" t="s">
        <v>199</v>
      </c>
      <c r="C68">
        <v>1.7857142857142856E-2</v>
      </c>
      <c r="D68">
        <v>2.1133004926108374E-2</v>
      </c>
      <c r="E68">
        <v>2.5123152709359605E-2</v>
      </c>
      <c r="F68">
        <v>2.832512315270936E-2</v>
      </c>
      <c r="G68">
        <v>3.2758620689655175E-2</v>
      </c>
      <c r="H68">
        <v>3.6699507389162563E-2</v>
      </c>
      <c r="I68">
        <v>3.9655172413793106E-2</v>
      </c>
      <c r="J68">
        <v>4.3842364532019708E-2</v>
      </c>
      <c r="K68">
        <v>4.8004926108374382E-2</v>
      </c>
      <c r="L68">
        <v>5.3522167487684728E-2</v>
      </c>
      <c r="M68">
        <v>5.7980295566502464E-2</v>
      </c>
      <c r="N68">
        <v>6.0812807881773401E-2</v>
      </c>
      <c r="O68">
        <v>6.4655172413793108E-2</v>
      </c>
      <c r="P68">
        <v>7.2487684729064042E-2</v>
      </c>
      <c r="Q68">
        <v>7.7955665024630541E-2</v>
      </c>
      <c r="R68">
        <v>8.2068965517241382E-2</v>
      </c>
      <c r="S68">
        <v>8.8300492610837444E-2</v>
      </c>
      <c r="T68">
        <v>9.3103448275862075E-2</v>
      </c>
      <c r="U68">
        <v>0.10236453201970443</v>
      </c>
      <c r="V68">
        <v>0.1067487684729064</v>
      </c>
      <c r="W68">
        <v>0.11433497536945812</v>
      </c>
      <c r="X68">
        <v>0.11817733990147783</v>
      </c>
      <c r="Y68">
        <v>0.12689655172413794</v>
      </c>
      <c r="Z68">
        <v>0.13376847290640395</v>
      </c>
      <c r="AA68">
        <v>0.14083743842364532</v>
      </c>
      <c r="AB68">
        <v>0.14532019704433496</v>
      </c>
      <c r="AC68">
        <v>0.16280788177339903</v>
      </c>
      <c r="AD68">
        <v>0.17290640394088669</v>
      </c>
      <c r="AE68">
        <v>0.17320197044334976</v>
      </c>
      <c r="AF68">
        <v>0.17295566502463053</v>
      </c>
      <c r="AG68">
        <v>0.18113300492610837</v>
      </c>
      <c r="AH68">
        <v>0.19633004926108374</v>
      </c>
      <c r="AI68">
        <v>0.21009852216748767</v>
      </c>
      <c r="AJ68">
        <v>0.21487684729064038</v>
      </c>
      <c r="AK68">
        <v>0.21751231527093595</v>
      </c>
      <c r="AL68">
        <v>0.21839901477832513</v>
      </c>
      <c r="AM68">
        <v>0.21857142857142858</v>
      </c>
      <c r="AN68">
        <v>0.22576354679802957</v>
      </c>
      <c r="AO68">
        <v>0.23179802955665024</v>
      </c>
      <c r="AP68">
        <v>0.23630541871921182</v>
      </c>
      <c r="AQ68">
        <v>0.24827586206896551</v>
      </c>
      <c r="AR68">
        <v>0.25935960591133006</v>
      </c>
      <c r="AS68">
        <v>0.27536945812807884</v>
      </c>
      <c r="AT68">
        <v>0.28300492610837441</v>
      </c>
      <c r="AU68">
        <v>0.2857142857142857</v>
      </c>
      <c r="AV68">
        <v>0.29113300492610839</v>
      </c>
      <c r="AW68">
        <v>0.30320197044334973</v>
      </c>
      <c r="AX68">
        <v>0.31798029556650248</v>
      </c>
      <c r="AY68">
        <v>0.33743842364532017</v>
      </c>
      <c r="AZ68">
        <v>0.35591133004926107</v>
      </c>
      <c r="BA68">
        <v>0.36773399014778324</v>
      </c>
      <c r="BB68">
        <v>0.38103448275862067</v>
      </c>
      <c r="BC68">
        <v>0.37931034482758619</v>
      </c>
      <c r="BD68">
        <v>0.39408866995073893</v>
      </c>
      <c r="BE68">
        <v>0.40886699507389163</v>
      </c>
      <c r="BF68">
        <v>0.43103448275862066</v>
      </c>
      <c r="BG68">
        <v>0.45566502463054187</v>
      </c>
      <c r="BH68">
        <v>0.49753694581280788</v>
      </c>
      <c r="BI68">
        <v>0.53940886699507384</v>
      </c>
      <c r="BJ68">
        <v>0.5788177339901478</v>
      </c>
      <c r="BK68">
        <v>0.64532019704433496</v>
      </c>
      <c r="BL68">
        <v>0.69211822660098521</v>
      </c>
      <c r="BM68">
        <v>0.70197044334975367</v>
      </c>
      <c r="BN68">
        <v>0.75123152709359609</v>
      </c>
      <c r="BO68">
        <v>0.81034482758620685</v>
      </c>
      <c r="BP68">
        <v>0.89408866995073888</v>
      </c>
      <c r="BQ68">
        <v>0.94088669950738912</v>
      </c>
      <c r="BR68">
        <v>1.0024630541871922</v>
      </c>
      <c r="BS68">
        <v>1.0295566502463054</v>
      </c>
      <c r="BT68">
        <v>1</v>
      </c>
    </row>
    <row r="69" spans="1:72" x14ac:dyDescent="0.25">
      <c r="B69" t="s">
        <v>201</v>
      </c>
      <c r="C69">
        <v>1.3739130434782608E-2</v>
      </c>
      <c r="D69">
        <v>1.8782608695652174E-2</v>
      </c>
      <c r="E69">
        <v>2.2086956521739129E-2</v>
      </c>
      <c r="F69">
        <v>2.2782608695652174E-2</v>
      </c>
      <c r="G69">
        <v>2.5913043478260869E-2</v>
      </c>
      <c r="H69">
        <v>3.1304347826086959E-2</v>
      </c>
      <c r="I69">
        <v>3.5826086956521737E-2</v>
      </c>
      <c r="J69">
        <v>4.2956521739130435E-2</v>
      </c>
      <c r="K69">
        <v>4.8869565217391303E-2</v>
      </c>
      <c r="L69">
        <v>5.4608695652173911E-2</v>
      </c>
      <c r="M69">
        <v>5.8608695652173914E-2</v>
      </c>
      <c r="N69">
        <v>5.8608695652173914E-2</v>
      </c>
      <c r="O69">
        <v>6.1043478260869567E-2</v>
      </c>
      <c r="P69">
        <v>7.0608695652173911E-2</v>
      </c>
      <c r="Q69">
        <v>7.8086956521739137E-2</v>
      </c>
      <c r="R69">
        <v>8.1739130434782606E-2</v>
      </c>
      <c r="S69">
        <v>8.7999999999999995E-2</v>
      </c>
      <c r="T69">
        <v>9.252173913043478E-2</v>
      </c>
      <c r="U69">
        <v>0.10330434782608695</v>
      </c>
      <c r="V69">
        <v>0.1097391304347826</v>
      </c>
      <c r="W69">
        <v>0.11965217391304347</v>
      </c>
      <c r="X69">
        <v>0.13165217391304349</v>
      </c>
      <c r="Y69">
        <v>0.13947826086956522</v>
      </c>
      <c r="Z69">
        <v>0.156</v>
      </c>
      <c r="AA69">
        <v>0.16782608695652174</v>
      </c>
      <c r="AB69">
        <v>0.17913043478260871</v>
      </c>
      <c r="AC69">
        <v>0.19130434782608696</v>
      </c>
      <c r="AD69">
        <v>0.21043478260869566</v>
      </c>
      <c r="AE69">
        <v>0.22956521739130434</v>
      </c>
      <c r="AF69">
        <v>0.21043478260869566</v>
      </c>
      <c r="AG69">
        <v>0.21913043478260869</v>
      </c>
      <c r="AH69">
        <v>0.24</v>
      </c>
      <c r="AI69">
        <v>0.24521739130434783</v>
      </c>
      <c r="AJ69">
        <v>0.25391304347826088</v>
      </c>
      <c r="AK69">
        <v>0.26782608695652171</v>
      </c>
      <c r="AL69">
        <v>0.26260869565217393</v>
      </c>
      <c r="AM69">
        <v>0.23304347826086957</v>
      </c>
      <c r="AN69">
        <v>0.2417391304347826</v>
      </c>
      <c r="AO69">
        <v>0.27304347826086955</v>
      </c>
      <c r="AP69">
        <v>0.26782608695652171</v>
      </c>
      <c r="AQ69">
        <v>0.26782608695652171</v>
      </c>
      <c r="AR69">
        <v>0.28695652173913044</v>
      </c>
      <c r="AS69">
        <v>0.32173913043478258</v>
      </c>
      <c r="AT69">
        <v>0.33043478260869563</v>
      </c>
      <c r="AU69">
        <v>0.33565217391304347</v>
      </c>
      <c r="AV69">
        <v>0.34260869565217389</v>
      </c>
      <c r="AW69">
        <v>0.33913043478260868</v>
      </c>
      <c r="AX69">
        <v>0.34434782608695652</v>
      </c>
      <c r="AY69">
        <v>0.3339130434782609</v>
      </c>
      <c r="AZ69">
        <v>0.34260869565217389</v>
      </c>
      <c r="BA69">
        <v>0.36173913043478262</v>
      </c>
      <c r="BB69">
        <v>0.37739130434782608</v>
      </c>
      <c r="BC69">
        <v>0.39304347826086955</v>
      </c>
      <c r="BD69">
        <v>0.41043478260869565</v>
      </c>
      <c r="BE69">
        <v>0.4226086956521739</v>
      </c>
      <c r="BF69">
        <v>0.4226086956521739</v>
      </c>
      <c r="BG69">
        <v>0.45391304347826089</v>
      </c>
      <c r="BH69">
        <v>0.48695652173913045</v>
      </c>
      <c r="BI69">
        <v>0.52</v>
      </c>
      <c r="BJ69">
        <v>0.55478260869565221</v>
      </c>
      <c r="BK69">
        <v>0.5895652173913043</v>
      </c>
      <c r="BL69">
        <v>0.65913043478260869</v>
      </c>
      <c r="BM69">
        <v>0.69043478260869562</v>
      </c>
      <c r="BN69">
        <v>0.64695652173913043</v>
      </c>
      <c r="BO69">
        <v>0.72695652173913039</v>
      </c>
      <c r="BP69">
        <v>0.81391304347826088</v>
      </c>
      <c r="BQ69">
        <v>0.85565217391304349</v>
      </c>
      <c r="BR69">
        <v>0.90260869565217394</v>
      </c>
      <c r="BS69">
        <v>0.93913043478260871</v>
      </c>
      <c r="BT69">
        <v>1</v>
      </c>
    </row>
    <row r="70" spans="1:72" x14ac:dyDescent="0.25">
      <c r="B70" t="s">
        <v>204</v>
      </c>
      <c r="C70">
        <f t="shared" ref="C70:L71" si="15">AF29</f>
        <v>0.11198406965135248</v>
      </c>
      <c r="D70">
        <f t="shared" si="15"/>
        <v>0.12671382819348109</v>
      </c>
      <c r="E70">
        <f t="shared" si="15"/>
        <v>0.13159854904996174</v>
      </c>
      <c r="F70">
        <f t="shared" si="15"/>
        <v>0.14102447694413289</v>
      </c>
      <c r="G70">
        <f t="shared" si="15"/>
        <v>0.14579458176516014</v>
      </c>
      <c r="H70">
        <f t="shared" si="15"/>
        <v>0.15631506224920333</v>
      </c>
      <c r="I70">
        <f t="shared" si="15"/>
        <v>0.15431636801290471</v>
      </c>
      <c r="J70">
        <f t="shared" si="15"/>
        <v>0.16915613777851662</v>
      </c>
      <c r="K70">
        <f t="shared" si="15"/>
        <v>0.17645810228169703</v>
      </c>
      <c r="L70">
        <f t="shared" si="15"/>
        <v>0.19030729248329423</v>
      </c>
      <c r="M70">
        <f t="shared" ref="M70:V71" si="16">AP29</f>
        <v>0.21060281746242468</v>
      </c>
      <c r="N70">
        <f t="shared" si="16"/>
        <v>0.285988034847596</v>
      </c>
      <c r="O70">
        <f t="shared" si="16"/>
        <v>0.29646524472703939</v>
      </c>
      <c r="P70">
        <f t="shared" si="16"/>
        <v>0.33748769466610451</v>
      </c>
      <c r="Q70">
        <f t="shared" si="16"/>
        <v>0.34317572215853309</v>
      </c>
      <c r="R70">
        <f t="shared" si="16"/>
        <v>0.3689227373833337</v>
      </c>
      <c r="S70">
        <f t="shared" si="16"/>
        <v>0.37045494219656383</v>
      </c>
      <c r="T70">
        <f t="shared" si="16"/>
        <v>0.40838423802467155</v>
      </c>
      <c r="U70">
        <f t="shared" si="16"/>
        <v>0.42104051213147808</v>
      </c>
      <c r="V70">
        <f t="shared" si="16"/>
        <v>0.44925679003619884</v>
      </c>
      <c r="W70">
        <f t="shared" ref="W70:AF71" si="17">AZ29</f>
        <v>0.45918127453390256</v>
      </c>
      <c r="X70">
        <f t="shared" si="17"/>
        <v>0.47483503776420793</v>
      </c>
      <c r="Y70">
        <f t="shared" si="17"/>
        <v>0.48210194588273458</v>
      </c>
      <c r="Z70">
        <f t="shared" si="17"/>
        <v>0.56518827805685401</v>
      </c>
      <c r="AA70">
        <f t="shared" si="17"/>
        <v>0.58879040360579293</v>
      </c>
      <c r="AB70">
        <f t="shared" si="17"/>
        <v>0.68732230554106988</v>
      </c>
      <c r="AC70">
        <f t="shared" si="17"/>
        <v>0.65392017440953609</v>
      </c>
      <c r="AD70">
        <f t="shared" si="17"/>
        <v>0.71622736112658014</v>
      </c>
      <c r="AE70">
        <f t="shared" si="17"/>
        <v>0.68662437571857526</v>
      </c>
      <c r="AF70">
        <f t="shared" si="17"/>
        <v>0.69942799564170355</v>
      </c>
      <c r="AG70">
        <f t="shared" ref="AG70:AP71" si="18">BJ29</f>
        <v>0.68861054335099137</v>
      </c>
      <c r="AH70">
        <f t="shared" si="18"/>
        <v>0.67680338974387289</v>
      </c>
      <c r="AI70">
        <f t="shared" si="18"/>
        <v>0.80466245097710365</v>
      </c>
      <c r="AJ70">
        <f t="shared" si="18"/>
        <v>0.83278575348841344</v>
      </c>
      <c r="AK70">
        <f t="shared" si="18"/>
        <v>0.85869823894550534</v>
      </c>
      <c r="AL70">
        <f t="shared" si="18"/>
        <v>0.88423876124656564</v>
      </c>
      <c r="AM70">
        <f t="shared" si="18"/>
        <v>0.90866296948951752</v>
      </c>
      <c r="AN70">
        <f t="shared" si="18"/>
        <v>0.9315948521022559</v>
      </c>
      <c r="AO70">
        <f t="shared" si="18"/>
        <v>0.9545132387771742</v>
      </c>
      <c r="AP70">
        <f t="shared" si="18"/>
        <v>0.97738494335908221</v>
      </c>
      <c r="AQ70">
        <f t="shared" ref="AQ70:AQ71" si="19">BT29</f>
        <v>1</v>
      </c>
    </row>
    <row r="71" spans="1:72" x14ac:dyDescent="0.25">
      <c r="B71" t="s">
        <v>205</v>
      </c>
      <c r="C71">
        <f t="shared" si="15"/>
        <v>0.14115268348786097</v>
      </c>
      <c r="D71">
        <f t="shared" si="15"/>
        <v>0.15827031028038271</v>
      </c>
      <c r="E71">
        <f t="shared" si="15"/>
        <v>0.16214782947839254</v>
      </c>
      <c r="F71">
        <f t="shared" si="15"/>
        <v>0.17190650551889677</v>
      </c>
      <c r="G71">
        <f t="shared" si="15"/>
        <v>0.17546178758671518</v>
      </c>
      <c r="H71">
        <f t="shared" si="15"/>
        <v>0.18618534302971573</v>
      </c>
      <c r="I71">
        <f t="shared" si="15"/>
        <v>0.18058373975907796</v>
      </c>
      <c r="J71">
        <f t="shared" si="15"/>
        <v>0.19610792424709864</v>
      </c>
      <c r="K71">
        <f t="shared" si="15"/>
        <v>0.20171048785591783</v>
      </c>
      <c r="L71">
        <f t="shared" si="15"/>
        <v>0.21513153028213439</v>
      </c>
      <c r="M71">
        <f t="shared" si="16"/>
        <v>0.2361118297414945</v>
      </c>
      <c r="N71">
        <f t="shared" si="16"/>
        <v>0.33457516275394789</v>
      </c>
      <c r="O71">
        <f t="shared" si="16"/>
        <v>0.34217095141129561</v>
      </c>
      <c r="P71">
        <f t="shared" si="16"/>
        <v>0.3867586938745553</v>
      </c>
      <c r="Q71">
        <f t="shared" si="16"/>
        <v>0.3885127175792068</v>
      </c>
      <c r="R71">
        <f t="shared" si="16"/>
        <v>0.41493527600464092</v>
      </c>
      <c r="S71">
        <f t="shared" si="16"/>
        <v>0.41290108711327633</v>
      </c>
      <c r="T71">
        <f t="shared" si="16"/>
        <v>0.45460774712995239</v>
      </c>
      <c r="U71">
        <f t="shared" si="16"/>
        <v>0.46684384504750753</v>
      </c>
      <c r="V71">
        <f t="shared" si="16"/>
        <v>0.49828437855224972</v>
      </c>
      <c r="W71">
        <f t="shared" si="17"/>
        <v>0.5091262689278675</v>
      </c>
      <c r="X71">
        <f t="shared" si="17"/>
        <v>0.52037028479351866</v>
      </c>
      <c r="Y71">
        <f t="shared" si="17"/>
        <v>0.52770090372535339</v>
      </c>
      <c r="Z71">
        <f t="shared" si="17"/>
        <v>0.62304778097389735</v>
      </c>
      <c r="AA71">
        <f t="shared" si="17"/>
        <v>0.65007909120030971</v>
      </c>
      <c r="AB71">
        <f t="shared" si="17"/>
        <v>0.76409836928340391</v>
      </c>
      <c r="AC71">
        <f t="shared" si="17"/>
        <v>0.72769217917696749</v>
      </c>
      <c r="AD71">
        <f t="shared" si="17"/>
        <v>0.80359828828503577</v>
      </c>
      <c r="AE71">
        <f t="shared" si="17"/>
        <v>0.77574574563026388</v>
      </c>
      <c r="AF71">
        <f t="shared" si="17"/>
        <v>0.79801021472974176</v>
      </c>
      <c r="AG71">
        <f t="shared" si="18"/>
        <v>0.79491036248655633</v>
      </c>
      <c r="AH71">
        <f t="shared" si="18"/>
        <v>0.71956947820233119</v>
      </c>
      <c r="AI71">
        <f t="shared" si="18"/>
        <v>0.80305436653916396</v>
      </c>
      <c r="AJ71">
        <f t="shared" si="18"/>
        <v>0.82950070297133904</v>
      </c>
      <c r="AK71">
        <f t="shared" si="18"/>
        <v>0.85518126305877074</v>
      </c>
      <c r="AL71">
        <f t="shared" si="18"/>
        <v>0.88083757816055419</v>
      </c>
      <c r="AM71">
        <f t="shared" si="18"/>
        <v>0.90554826779720776</v>
      </c>
      <c r="AN71">
        <f t="shared" si="18"/>
        <v>0.92894498128846625</v>
      </c>
      <c r="AO71">
        <f t="shared" si="18"/>
        <v>0.95263392348961973</v>
      </c>
      <c r="AP71">
        <f t="shared" si="18"/>
        <v>0.9764380327677511</v>
      </c>
      <c r="AQ71">
        <f t="shared" si="19"/>
        <v>1</v>
      </c>
    </row>
    <row r="72" spans="1:72" x14ac:dyDescent="0.25">
      <c r="B72" t="s">
        <v>206</v>
      </c>
      <c r="C72">
        <f>AY31</f>
        <v>0.14707710259354001</v>
      </c>
      <c r="D72">
        <f t="shared" ref="D72:X72" si="20">AZ31</f>
        <v>0.17859396004991271</v>
      </c>
      <c r="E72">
        <f t="shared" si="20"/>
        <v>0.20071537095507927</v>
      </c>
      <c r="F72">
        <f t="shared" si="20"/>
        <v>0.22865929980916586</v>
      </c>
      <c r="G72">
        <f t="shared" si="20"/>
        <v>0.25120269625110647</v>
      </c>
      <c r="H72">
        <f t="shared" si="20"/>
        <v>0.28230582752500127</v>
      </c>
      <c r="I72">
        <f t="shared" si="20"/>
        <v>0.29316755853478998</v>
      </c>
      <c r="J72">
        <f t="shared" si="20"/>
        <v>0.32294848048730329</v>
      </c>
      <c r="K72">
        <f t="shared" si="20"/>
        <v>0.33959091079264908</v>
      </c>
      <c r="L72">
        <f t="shared" si="20"/>
        <v>0.36888175383940253</v>
      </c>
      <c r="M72">
        <f t="shared" si="20"/>
        <v>0.41259373246008041</v>
      </c>
      <c r="N72">
        <f t="shared" si="20"/>
        <v>0.46137140864866943</v>
      </c>
      <c r="O72">
        <f t="shared" si="20"/>
        <v>0.49222339956231925</v>
      </c>
      <c r="P72">
        <f t="shared" si="20"/>
        <v>0.58244039312706275</v>
      </c>
      <c r="Q72">
        <f t="shared" si="20"/>
        <v>0.59984207271856282</v>
      </c>
      <c r="R72">
        <f t="shared" si="20"/>
        <v>0.6518779442344419</v>
      </c>
      <c r="S72">
        <f t="shared" si="20"/>
        <v>0.65457517287356282</v>
      </c>
      <c r="T72">
        <f t="shared" si="20"/>
        <v>0.74846163620978778</v>
      </c>
      <c r="U72">
        <f t="shared" si="20"/>
        <v>0.79733580584312735</v>
      </c>
      <c r="V72">
        <f t="shared" si="20"/>
        <v>0.87671724905197512</v>
      </c>
      <c r="W72">
        <f t="shared" si="20"/>
        <v>0.91822583033642902</v>
      </c>
      <c r="X72">
        <f t="shared" si="20"/>
        <v>1</v>
      </c>
    </row>
    <row r="73" spans="1:72" x14ac:dyDescent="0.25">
      <c r="B73" t="s">
        <v>207</v>
      </c>
      <c r="C73">
        <f>AY32</f>
        <v>0.1758214435644625</v>
      </c>
      <c r="D73">
        <f t="shared" ref="D73:X73" si="21">AZ32</f>
        <v>0.21096392299928299</v>
      </c>
      <c r="E73">
        <f t="shared" si="21"/>
        <v>0.23384158674156505</v>
      </c>
      <c r="F73">
        <f t="shared" si="21"/>
        <v>0.26319869920330946</v>
      </c>
      <c r="G73">
        <f t="shared" si="21"/>
        <v>0.2854040824615911</v>
      </c>
      <c r="H73">
        <f t="shared" si="21"/>
        <v>0.3170699949226532</v>
      </c>
      <c r="I73">
        <f t="shared" si="21"/>
        <v>0.32412098569862519</v>
      </c>
      <c r="J73">
        <f t="shared" si="21"/>
        <v>0.35286698530983207</v>
      </c>
      <c r="K73">
        <f t="shared" si="21"/>
        <v>0.36570333741487659</v>
      </c>
      <c r="L73">
        <f t="shared" si="21"/>
        <v>0.39252985157428882</v>
      </c>
      <c r="M73">
        <f t="shared" si="21"/>
        <v>0.43500109481714289</v>
      </c>
      <c r="N73">
        <f t="shared" si="21"/>
        <v>0.47960621765477884</v>
      </c>
      <c r="O73">
        <f t="shared" si="21"/>
        <v>0.50593622464528254</v>
      </c>
      <c r="P73">
        <f t="shared" si="21"/>
        <v>0.59739253864844</v>
      </c>
      <c r="Q73">
        <f t="shared" si="21"/>
        <v>0.60820287460485523</v>
      </c>
      <c r="R73">
        <f t="shared" si="21"/>
        <v>0.65732540706257359</v>
      </c>
      <c r="S73">
        <f t="shared" si="21"/>
        <v>0.65366992992074402</v>
      </c>
      <c r="T73">
        <f t="shared" si="21"/>
        <v>0.74841368476714587</v>
      </c>
      <c r="U73">
        <f t="shared" si="21"/>
        <v>0.79519075008800233</v>
      </c>
      <c r="V73">
        <f t="shared" si="21"/>
        <v>0.87504311879625551</v>
      </c>
      <c r="W73">
        <f t="shared" si="21"/>
        <v>0.91585344196965357</v>
      </c>
      <c r="X73">
        <f t="shared" si="21"/>
        <v>1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49A08-0522-4964-98BA-33C9A26398A8}">
  <dimension ref="D2:Q35"/>
  <sheetViews>
    <sheetView topLeftCell="A7" workbookViewId="0">
      <selection activeCell="L17" sqref="L17"/>
    </sheetView>
  </sheetViews>
  <sheetFormatPr defaultRowHeight="15" x14ac:dyDescent="0.25"/>
  <sheetData>
    <row r="2" spans="4:17" x14ac:dyDescent="0.25">
      <c r="D2" s="1" t="s">
        <v>345</v>
      </c>
      <c r="E2" s="1" t="s">
        <v>346</v>
      </c>
      <c r="F2" s="1" t="s">
        <v>347</v>
      </c>
      <c r="G2" s="1" t="s">
        <v>348</v>
      </c>
    </row>
    <row r="3" spans="4:17" x14ac:dyDescent="0.25">
      <c r="D3" t="s">
        <v>343</v>
      </c>
      <c r="E3" t="s">
        <v>263</v>
      </c>
      <c r="F3">
        <v>2010</v>
      </c>
      <c r="G3">
        <v>7876</v>
      </c>
    </row>
    <row r="4" spans="4:17" x14ac:dyDescent="0.25">
      <c r="D4" t="s">
        <v>343</v>
      </c>
      <c r="E4" t="s">
        <v>344</v>
      </c>
      <c r="F4">
        <v>2010</v>
      </c>
      <c r="G4">
        <v>29</v>
      </c>
    </row>
    <row r="5" spans="4:17" x14ac:dyDescent="0.25">
      <c r="D5" t="s">
        <v>343</v>
      </c>
      <c r="E5" t="s">
        <v>264</v>
      </c>
      <c r="F5">
        <v>2010</v>
      </c>
      <c r="G5">
        <v>384</v>
      </c>
    </row>
    <row r="6" spans="4:17" x14ac:dyDescent="0.25">
      <c r="D6" t="s">
        <v>343</v>
      </c>
      <c r="E6" t="s">
        <v>263</v>
      </c>
      <c r="F6">
        <v>2011</v>
      </c>
      <c r="G6">
        <v>39243</v>
      </c>
    </row>
    <row r="7" spans="4:17" x14ac:dyDescent="0.25">
      <c r="D7" t="s">
        <v>343</v>
      </c>
      <c r="E7" t="s">
        <v>344</v>
      </c>
      <c r="F7">
        <v>2011</v>
      </c>
      <c r="G7">
        <v>38</v>
      </c>
    </row>
    <row r="8" spans="4:17" x14ac:dyDescent="0.25">
      <c r="D8" t="s">
        <v>343</v>
      </c>
      <c r="E8" t="s">
        <v>264</v>
      </c>
      <c r="F8">
        <v>2011</v>
      </c>
      <c r="G8">
        <v>9050.16015625</v>
      </c>
    </row>
    <row r="9" spans="4:17" x14ac:dyDescent="0.25">
      <c r="D9" t="s">
        <v>343</v>
      </c>
      <c r="E9" t="s">
        <v>263</v>
      </c>
      <c r="F9">
        <v>2012</v>
      </c>
      <c r="G9">
        <v>57803.6015625</v>
      </c>
    </row>
    <row r="10" spans="4:17" x14ac:dyDescent="0.25">
      <c r="D10" t="s">
        <v>343</v>
      </c>
      <c r="E10" t="s">
        <v>344</v>
      </c>
      <c r="F10">
        <v>2012</v>
      </c>
      <c r="G10">
        <v>30</v>
      </c>
    </row>
    <row r="11" spans="4:17" x14ac:dyDescent="0.25">
      <c r="D11" t="s">
        <v>343</v>
      </c>
      <c r="E11" t="s">
        <v>264</v>
      </c>
      <c r="F11">
        <v>2012</v>
      </c>
      <c r="G11">
        <v>60508.3984375</v>
      </c>
    </row>
    <row r="12" spans="4:17" x14ac:dyDescent="0.25">
      <c r="D12" t="s">
        <v>343</v>
      </c>
      <c r="E12" t="s">
        <v>263</v>
      </c>
      <c r="F12">
        <v>2013</v>
      </c>
      <c r="G12">
        <v>112648.6015625</v>
      </c>
    </row>
    <row r="13" spans="4:17" x14ac:dyDescent="0.25">
      <c r="D13" t="s">
        <v>343</v>
      </c>
      <c r="E13" t="s">
        <v>344</v>
      </c>
      <c r="F13">
        <v>2013</v>
      </c>
      <c r="G13">
        <v>31</v>
      </c>
    </row>
    <row r="14" spans="4:17" x14ac:dyDescent="0.25">
      <c r="D14" t="s">
        <v>343</v>
      </c>
      <c r="E14" t="s">
        <v>264</v>
      </c>
      <c r="F14">
        <v>2013</v>
      </c>
      <c r="G14">
        <v>91577.3984375</v>
      </c>
      <c r="L14">
        <v>2015</v>
      </c>
      <c r="M14">
        <f>L14+1</f>
        <v>2016</v>
      </c>
      <c r="N14">
        <f t="shared" ref="N14:P14" si="0">M14+1</f>
        <v>2017</v>
      </c>
      <c r="O14">
        <f t="shared" si="0"/>
        <v>2018</v>
      </c>
      <c r="P14">
        <f t="shared" si="0"/>
        <v>2019</v>
      </c>
      <c r="Q14">
        <f>P14+1</f>
        <v>2020</v>
      </c>
    </row>
    <row r="15" spans="4:17" x14ac:dyDescent="0.25">
      <c r="D15" t="s">
        <v>343</v>
      </c>
      <c r="E15" t="s">
        <v>263</v>
      </c>
      <c r="F15">
        <v>2014</v>
      </c>
      <c r="G15">
        <v>195753.296875</v>
      </c>
      <c r="K15" t="s">
        <v>263</v>
      </c>
      <c r="L15">
        <f>G18</f>
        <v>324907</v>
      </c>
      <c r="M15">
        <f>G21</f>
        <v>465632.09375</v>
      </c>
      <c r="N15">
        <f>G24</f>
        <v>758053.1875</v>
      </c>
      <c r="O15">
        <f>G27</f>
        <v>1370922</v>
      </c>
      <c r="P15">
        <f>G30</f>
        <v>1542867</v>
      </c>
      <c r="Q15">
        <f>G33</f>
        <v>2008024</v>
      </c>
    </row>
    <row r="16" spans="4:17" x14ac:dyDescent="0.25">
      <c r="D16" t="s">
        <v>343</v>
      </c>
      <c r="E16" t="s">
        <v>344</v>
      </c>
      <c r="F16">
        <v>2014</v>
      </c>
      <c r="G16">
        <v>93.210998535156193</v>
      </c>
      <c r="K16" t="s">
        <v>264</v>
      </c>
      <c r="L16">
        <f>G20</f>
        <v>222567</v>
      </c>
      <c r="M16">
        <f>G23</f>
        <v>286459.1875</v>
      </c>
      <c r="N16">
        <f>G26</f>
        <v>416591.09375</v>
      </c>
      <c r="O16">
        <f>G29</f>
        <v>637557</v>
      </c>
      <c r="P16">
        <f>G32</f>
        <v>570724</v>
      </c>
      <c r="Q16">
        <f>G35</f>
        <v>969034</v>
      </c>
    </row>
    <row r="17" spans="4:7" x14ac:dyDescent="0.25">
      <c r="D17" t="s">
        <v>343</v>
      </c>
      <c r="E17" t="s">
        <v>264</v>
      </c>
      <c r="F17">
        <v>2014</v>
      </c>
      <c r="G17">
        <v>133367.203125</v>
      </c>
    </row>
    <row r="18" spans="4:7" x14ac:dyDescent="0.25">
      <c r="D18" t="s">
        <v>343</v>
      </c>
      <c r="E18" t="s">
        <v>263</v>
      </c>
      <c r="F18">
        <v>2015</v>
      </c>
      <c r="G18">
        <v>324907</v>
      </c>
    </row>
    <row r="19" spans="4:7" x14ac:dyDescent="0.25">
      <c r="D19" t="s">
        <v>343</v>
      </c>
      <c r="E19" t="s">
        <v>344</v>
      </c>
      <c r="F19">
        <v>2015</v>
      </c>
      <c r="G19">
        <v>683</v>
      </c>
    </row>
    <row r="20" spans="4:7" x14ac:dyDescent="0.25">
      <c r="D20" t="s">
        <v>343</v>
      </c>
      <c r="E20" t="s">
        <v>264</v>
      </c>
      <c r="F20">
        <v>2015</v>
      </c>
      <c r="G20">
        <v>222567</v>
      </c>
    </row>
    <row r="21" spans="4:7" x14ac:dyDescent="0.25">
      <c r="D21" t="s">
        <v>343</v>
      </c>
      <c r="E21" t="s">
        <v>263</v>
      </c>
      <c r="F21">
        <v>2016</v>
      </c>
      <c r="G21">
        <v>465632.09375</v>
      </c>
    </row>
    <row r="22" spans="4:7" x14ac:dyDescent="0.25">
      <c r="D22" t="s">
        <v>343</v>
      </c>
      <c r="E22" t="s">
        <v>344</v>
      </c>
      <c r="F22">
        <v>2016</v>
      </c>
      <c r="G22">
        <v>2289</v>
      </c>
    </row>
    <row r="23" spans="4:7" x14ac:dyDescent="0.25">
      <c r="D23" t="s">
        <v>343</v>
      </c>
      <c r="E23" t="s">
        <v>264</v>
      </c>
      <c r="F23">
        <v>2016</v>
      </c>
      <c r="G23">
        <v>286459.1875</v>
      </c>
    </row>
    <row r="24" spans="4:7" x14ac:dyDescent="0.25">
      <c r="D24" t="s">
        <v>343</v>
      </c>
      <c r="E24" t="s">
        <v>263</v>
      </c>
      <c r="F24">
        <v>2017</v>
      </c>
      <c r="G24">
        <v>758053.1875</v>
      </c>
    </row>
    <row r="25" spans="4:7" x14ac:dyDescent="0.25">
      <c r="D25" t="s">
        <v>343</v>
      </c>
      <c r="E25" t="s">
        <v>344</v>
      </c>
      <c r="F25">
        <v>2017</v>
      </c>
      <c r="G25">
        <v>3365</v>
      </c>
    </row>
    <row r="26" spans="4:7" x14ac:dyDescent="0.25">
      <c r="D26" t="s">
        <v>343</v>
      </c>
      <c r="E26" t="s">
        <v>264</v>
      </c>
      <c r="F26">
        <v>2017</v>
      </c>
      <c r="G26">
        <v>416591.09375</v>
      </c>
    </row>
    <row r="27" spans="4:7" x14ac:dyDescent="0.25">
      <c r="D27" t="s">
        <v>343</v>
      </c>
      <c r="E27" t="s">
        <v>263</v>
      </c>
      <c r="F27">
        <v>2018</v>
      </c>
      <c r="G27">
        <v>1370922</v>
      </c>
    </row>
    <row r="28" spans="4:7" x14ac:dyDescent="0.25">
      <c r="D28" t="s">
        <v>343</v>
      </c>
      <c r="E28" t="s">
        <v>344</v>
      </c>
      <c r="F28">
        <v>2018</v>
      </c>
      <c r="G28">
        <v>6003</v>
      </c>
    </row>
    <row r="29" spans="4:7" x14ac:dyDescent="0.25">
      <c r="D29" t="s">
        <v>343</v>
      </c>
      <c r="E29" t="s">
        <v>264</v>
      </c>
      <c r="F29">
        <v>2018</v>
      </c>
      <c r="G29">
        <v>637557</v>
      </c>
    </row>
    <row r="30" spans="4:7" x14ac:dyDescent="0.25">
      <c r="D30" t="s">
        <v>343</v>
      </c>
      <c r="E30" t="s">
        <v>263</v>
      </c>
      <c r="F30">
        <v>2019</v>
      </c>
      <c r="G30">
        <v>1542867</v>
      </c>
    </row>
    <row r="31" spans="4:7" x14ac:dyDescent="0.25">
      <c r="D31" t="s">
        <v>343</v>
      </c>
      <c r="E31" t="s">
        <v>344</v>
      </c>
      <c r="F31">
        <v>2019</v>
      </c>
      <c r="G31">
        <v>10281</v>
      </c>
    </row>
    <row r="32" spans="4:7" x14ac:dyDescent="0.25">
      <c r="D32" t="s">
        <v>343</v>
      </c>
      <c r="E32" t="s">
        <v>264</v>
      </c>
      <c r="F32">
        <v>2019</v>
      </c>
      <c r="G32">
        <v>570724</v>
      </c>
    </row>
    <row r="33" spans="4:7" x14ac:dyDescent="0.25">
      <c r="D33" t="s">
        <v>343</v>
      </c>
      <c r="E33" t="s">
        <v>263</v>
      </c>
      <c r="F33">
        <v>2020</v>
      </c>
      <c r="G33">
        <v>2008024</v>
      </c>
    </row>
    <row r="34" spans="4:7" x14ac:dyDescent="0.25">
      <c r="D34" t="s">
        <v>343</v>
      </c>
      <c r="E34" t="s">
        <v>344</v>
      </c>
      <c r="F34">
        <v>2020</v>
      </c>
      <c r="G34">
        <v>9601</v>
      </c>
    </row>
    <row r="35" spans="4:7" x14ac:dyDescent="0.25">
      <c r="D35" t="s">
        <v>343</v>
      </c>
      <c r="E35" t="s">
        <v>264</v>
      </c>
      <c r="F35">
        <v>2020</v>
      </c>
      <c r="G35">
        <v>969034</v>
      </c>
    </row>
  </sheetData>
  <autoFilter ref="D2:G35" xr:uid="{92ADCD30-48C3-45A5-A52E-F9F6CA59617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22"/>
  <sheetViews>
    <sheetView workbookViewId="0">
      <selection activeCell="Q24" sqref="Q24"/>
    </sheetView>
  </sheetViews>
  <sheetFormatPr defaultRowHeight="15" x14ac:dyDescent="0.25"/>
  <cols>
    <col min="5" max="5" width="11" bestFit="1" customWidth="1"/>
  </cols>
  <sheetData>
    <row r="3" spans="2:11" x14ac:dyDescent="0.25">
      <c r="B3">
        <v>217</v>
      </c>
      <c r="C3" t="s">
        <v>235</v>
      </c>
    </row>
    <row r="4" spans="2:11" x14ac:dyDescent="0.25">
      <c r="G4" t="s">
        <v>253</v>
      </c>
      <c r="I4" t="s">
        <v>254</v>
      </c>
    </row>
    <row r="5" spans="2:11" x14ac:dyDescent="0.25">
      <c r="E5" t="s">
        <v>236</v>
      </c>
      <c r="G5">
        <v>95</v>
      </c>
      <c r="I5">
        <f>1000/B3</f>
        <v>4.6082949308755756</v>
      </c>
    </row>
    <row r="7" spans="2:11" ht="15.75" thickBot="1" x14ac:dyDescent="0.3">
      <c r="F7" t="s">
        <v>238</v>
      </c>
      <c r="G7" t="s">
        <v>237</v>
      </c>
    </row>
    <row r="8" spans="2:11" x14ac:dyDescent="0.25">
      <c r="C8" s="78"/>
      <c r="D8" s="79" t="s">
        <v>250</v>
      </c>
      <c r="E8" s="79"/>
      <c r="F8" s="80">
        <v>0.17</v>
      </c>
      <c r="G8" s="81">
        <f>F8*$G$5</f>
        <v>16.150000000000002</v>
      </c>
      <c r="I8" s="24">
        <f>F8*$I$5</f>
        <v>0.78341013824884786</v>
      </c>
      <c r="K8">
        <f>I8*0.85</f>
        <v>0.66589861751152069</v>
      </c>
    </row>
    <row r="9" spans="2:11" x14ac:dyDescent="0.25">
      <c r="C9" s="82" t="s">
        <v>241</v>
      </c>
      <c r="D9" s="24" t="s">
        <v>239</v>
      </c>
      <c r="E9" s="24"/>
      <c r="F9" s="83">
        <v>2E-3</v>
      </c>
      <c r="G9" s="84">
        <f>F9*$G$5</f>
        <v>0.19</v>
      </c>
      <c r="I9" s="24">
        <f t="shared" ref="I9:I20" si="0">F9*$I$5</f>
        <v>9.2165898617511521E-3</v>
      </c>
    </row>
    <row r="10" spans="2:11" x14ac:dyDescent="0.25">
      <c r="C10" s="85"/>
      <c r="D10" s="24" t="s">
        <v>240</v>
      </c>
      <c r="E10" s="24"/>
      <c r="F10" s="83">
        <v>8.9999999999999993E-3</v>
      </c>
      <c r="G10" s="84">
        <f t="shared" ref="G10:G12" si="1">F10*$G$5</f>
        <v>0.85499999999999998</v>
      </c>
      <c r="I10" s="24">
        <f t="shared" si="0"/>
        <v>4.1474654377880178E-2</v>
      </c>
    </row>
    <row r="11" spans="2:11" ht="15.75" thickBot="1" x14ac:dyDescent="0.3">
      <c r="C11" s="86"/>
      <c r="D11" s="87" t="s">
        <v>252</v>
      </c>
      <c r="E11" s="87"/>
      <c r="F11" s="88">
        <v>0.16700000000000001</v>
      </c>
      <c r="G11" s="89">
        <f t="shared" si="1"/>
        <v>15.865</v>
      </c>
      <c r="I11" s="24">
        <f t="shared" si="0"/>
        <v>0.7695852534562212</v>
      </c>
    </row>
    <row r="12" spans="2:11" x14ac:dyDescent="0.25">
      <c r="C12" s="78"/>
      <c r="D12" s="79" t="s">
        <v>249</v>
      </c>
      <c r="E12" s="79"/>
      <c r="F12" s="80">
        <v>0.245</v>
      </c>
      <c r="G12" s="81">
        <f t="shared" si="1"/>
        <v>23.274999999999999</v>
      </c>
      <c r="I12" s="24">
        <f t="shared" si="0"/>
        <v>1.129032258064516</v>
      </c>
    </row>
    <row r="13" spans="2:11" x14ac:dyDescent="0.25">
      <c r="C13" s="82" t="s">
        <v>242</v>
      </c>
      <c r="D13" s="24" t="s">
        <v>243</v>
      </c>
      <c r="E13" s="24"/>
      <c r="F13" s="83">
        <v>5.0000000000000001E-3</v>
      </c>
      <c r="G13" s="84">
        <f t="shared" ref="G13:G20" si="2">F13*$G$5</f>
        <v>0.47500000000000003</v>
      </c>
      <c r="I13" s="24">
        <f t="shared" si="0"/>
        <v>2.3041474654377878E-2</v>
      </c>
    </row>
    <row r="14" spans="2:11" x14ac:dyDescent="0.25">
      <c r="C14" s="85"/>
      <c r="D14" s="24" t="s">
        <v>240</v>
      </c>
      <c r="E14" s="24"/>
      <c r="F14" s="83">
        <v>5.0000000000000001E-3</v>
      </c>
      <c r="G14" s="84">
        <f t="shared" si="2"/>
        <v>0.47500000000000003</v>
      </c>
      <c r="I14" s="24">
        <f t="shared" si="0"/>
        <v>2.3041474654377878E-2</v>
      </c>
    </row>
    <row r="15" spans="2:11" ht="15.75" thickBot="1" x14ac:dyDescent="0.3">
      <c r="C15" s="86"/>
      <c r="D15" s="87" t="s">
        <v>251</v>
      </c>
      <c r="E15" s="87"/>
      <c r="F15" s="88">
        <v>6.0999999999999999E-2</v>
      </c>
      <c r="G15" s="89">
        <f t="shared" si="2"/>
        <v>5.7949999999999999</v>
      </c>
      <c r="I15" s="24">
        <f t="shared" si="0"/>
        <v>0.28110599078341009</v>
      </c>
    </row>
    <row r="16" spans="2:11" x14ac:dyDescent="0.25">
      <c r="D16" t="s">
        <v>244</v>
      </c>
      <c r="F16" s="19">
        <v>0.109</v>
      </c>
      <c r="G16">
        <f t="shared" si="2"/>
        <v>10.355</v>
      </c>
      <c r="I16" s="24">
        <f t="shared" si="0"/>
        <v>0.50230414746543772</v>
      </c>
    </row>
    <row r="17" spans="4:9" x14ac:dyDescent="0.25">
      <c r="D17" t="s">
        <v>245</v>
      </c>
      <c r="F17" s="19">
        <v>3.2000000000000001E-2</v>
      </c>
      <c r="G17">
        <f t="shared" si="2"/>
        <v>3.04</v>
      </c>
      <c r="I17" s="24">
        <f t="shared" si="0"/>
        <v>0.14746543778801843</v>
      </c>
    </row>
    <row r="18" spans="4:9" x14ac:dyDescent="0.25">
      <c r="D18" t="s">
        <v>246</v>
      </c>
      <c r="F18" s="19">
        <v>0.193</v>
      </c>
      <c r="G18">
        <f t="shared" si="2"/>
        <v>18.335000000000001</v>
      </c>
      <c r="I18" s="24">
        <f t="shared" si="0"/>
        <v>0.8894009216589861</v>
      </c>
    </row>
    <row r="19" spans="4:9" x14ac:dyDescent="0.25">
      <c r="D19" t="s">
        <v>247</v>
      </c>
      <c r="F19" s="19">
        <v>1E-3</v>
      </c>
      <c r="G19">
        <f t="shared" si="2"/>
        <v>9.5000000000000001E-2</v>
      </c>
      <c r="I19" s="24">
        <f t="shared" si="0"/>
        <v>4.608294930875576E-3</v>
      </c>
    </row>
    <row r="20" spans="4:9" x14ac:dyDescent="0.25">
      <c r="D20" t="s">
        <v>248</v>
      </c>
      <c r="F20" s="19">
        <v>1E-3</v>
      </c>
      <c r="G20">
        <f t="shared" si="2"/>
        <v>9.5000000000000001E-2</v>
      </c>
      <c r="I20" s="24">
        <f t="shared" si="0"/>
        <v>4.608294930875576E-3</v>
      </c>
    </row>
    <row r="22" spans="4:9" x14ac:dyDescent="0.25">
      <c r="F22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94"/>
  <sheetViews>
    <sheetView topLeftCell="A27" zoomScale="36" zoomScaleNormal="55" workbookViewId="0">
      <selection activeCell="K93" sqref="K93"/>
    </sheetView>
  </sheetViews>
  <sheetFormatPr defaultRowHeight="15" x14ac:dyDescent="0.25"/>
  <cols>
    <col min="2" max="2" width="19.42578125" customWidth="1"/>
    <col min="3" max="3" width="11.5703125" customWidth="1"/>
    <col min="7" max="7" width="15.140625" bestFit="1" customWidth="1"/>
    <col min="16" max="17" width="9.5703125" bestFit="1" customWidth="1"/>
    <col min="18" max="18" width="13.28515625" bestFit="1" customWidth="1"/>
    <col min="19" max="19" width="17.140625" bestFit="1" customWidth="1"/>
    <col min="20" max="21" width="16.85546875" bestFit="1" customWidth="1"/>
    <col min="22" max="22" width="15.7109375" bestFit="1" customWidth="1"/>
    <col min="23" max="23" width="15.28515625" bestFit="1" customWidth="1"/>
    <col min="24" max="24" width="15.7109375" bestFit="1" customWidth="1"/>
  </cols>
  <sheetData>
    <row r="1" spans="1:39" x14ac:dyDescent="0.25">
      <c r="A1" s="1" t="s">
        <v>169</v>
      </c>
    </row>
    <row r="2" spans="1:39" x14ac:dyDescent="0.25">
      <c r="O2" s="90">
        <v>2020</v>
      </c>
      <c r="P2" s="90"/>
      <c r="Q2" s="90"/>
      <c r="R2" s="90"/>
      <c r="S2" s="90"/>
      <c r="T2" s="90"/>
      <c r="U2" s="90"/>
    </row>
    <row r="3" spans="1:39" x14ac:dyDescent="0.25">
      <c r="C3" s="1">
        <v>2020</v>
      </c>
      <c r="P3" s="1" t="s">
        <v>175</v>
      </c>
      <c r="Q3" s="1" t="s">
        <v>177</v>
      </c>
      <c r="R3" s="1" t="s">
        <v>176</v>
      </c>
      <c r="S3" s="1" t="s">
        <v>178</v>
      </c>
      <c r="T3" s="1" t="s">
        <v>179</v>
      </c>
      <c r="U3" s="1" t="s">
        <v>181</v>
      </c>
      <c r="V3" s="1" t="s">
        <v>186</v>
      </c>
      <c r="X3" s="1" t="s">
        <v>187</v>
      </c>
      <c r="Y3" s="1" t="s">
        <v>188</v>
      </c>
    </row>
    <row r="4" spans="1:39" x14ac:dyDescent="0.25">
      <c r="B4" t="s">
        <v>8</v>
      </c>
      <c r="C4" s="19">
        <v>0.4</v>
      </c>
      <c r="O4" s="1" t="s">
        <v>8</v>
      </c>
      <c r="P4" s="19">
        <v>0.4</v>
      </c>
      <c r="Q4" s="19"/>
      <c r="R4" s="19"/>
      <c r="S4" s="19">
        <v>0.05</v>
      </c>
      <c r="T4" s="19">
        <v>0.02</v>
      </c>
      <c r="U4" s="19">
        <v>0.32500000000000001</v>
      </c>
      <c r="V4" s="19">
        <v>0.21</v>
      </c>
      <c r="X4" s="21">
        <f>AVERAGE(P4:V4)</f>
        <v>0.20100000000000001</v>
      </c>
      <c r="Y4" s="21">
        <f>MEDIAN(P4:V4)</f>
        <v>0.21</v>
      </c>
      <c r="AA4" t="s">
        <v>232</v>
      </c>
      <c r="AB4" s="21">
        <f>SUM(Y5,Y7,Y8,Y9)</f>
        <v>0.6399999999999999</v>
      </c>
      <c r="AD4" t="s">
        <v>232</v>
      </c>
      <c r="AE4" s="21">
        <f>SUM(P5:P10)</f>
        <v>0.57000000000000006</v>
      </c>
      <c r="AF4" s="21">
        <f t="shared" ref="AF4:AK4" si="0">SUM(Q5:Q10)</f>
        <v>1</v>
      </c>
      <c r="AG4" s="21">
        <f t="shared" si="0"/>
        <v>0.70500000000000007</v>
      </c>
      <c r="AH4" s="21">
        <f t="shared" si="0"/>
        <v>0.79999999999999993</v>
      </c>
      <c r="AI4" s="21">
        <f t="shared" si="0"/>
        <v>0.78999999999999992</v>
      </c>
      <c r="AJ4" s="21">
        <f t="shared" si="0"/>
        <v>0.30000000000000004</v>
      </c>
      <c r="AK4" s="21">
        <f t="shared" si="0"/>
        <v>0.46</v>
      </c>
      <c r="AL4" s="21"/>
      <c r="AM4" s="21">
        <f>MEDIAN(AE4:AK4)</f>
        <v>0.70500000000000007</v>
      </c>
    </row>
    <row r="5" spans="1:39" x14ac:dyDescent="0.25">
      <c r="B5" t="s">
        <v>170</v>
      </c>
      <c r="C5" s="19">
        <v>0.2</v>
      </c>
      <c r="O5" s="1" t="s">
        <v>164</v>
      </c>
      <c r="P5" s="19"/>
      <c r="Q5" s="19">
        <v>0.45</v>
      </c>
      <c r="R5" s="19"/>
      <c r="S5" s="19"/>
      <c r="T5" s="19">
        <v>0.24</v>
      </c>
      <c r="U5" s="19">
        <v>0.04</v>
      </c>
      <c r="V5" s="19"/>
      <c r="X5" s="21">
        <f t="shared" ref="X5:X11" si="1">AVERAGE(P5:V5)</f>
        <v>0.24333333333333332</v>
      </c>
      <c r="Y5" s="21">
        <f t="shared" ref="Y5:Y11" si="2">MEDIAN(P5:V5)</f>
        <v>0.24</v>
      </c>
      <c r="AA5" t="s">
        <v>8</v>
      </c>
      <c r="AB5" s="21">
        <f>Y4</f>
        <v>0.21</v>
      </c>
      <c r="AD5" t="s">
        <v>8</v>
      </c>
      <c r="AE5" s="21">
        <f>P4</f>
        <v>0.4</v>
      </c>
      <c r="AF5" s="21">
        <f t="shared" ref="AF5:AK5" si="3">Q4</f>
        <v>0</v>
      </c>
      <c r="AG5" s="21">
        <f t="shared" si="3"/>
        <v>0</v>
      </c>
      <c r="AH5" s="21">
        <f t="shared" si="3"/>
        <v>0.05</v>
      </c>
      <c r="AI5" s="21">
        <f t="shared" si="3"/>
        <v>0.02</v>
      </c>
      <c r="AJ5" s="21">
        <f t="shared" si="3"/>
        <v>0.32500000000000001</v>
      </c>
      <c r="AK5" s="21">
        <f t="shared" si="3"/>
        <v>0.21</v>
      </c>
      <c r="AL5" s="21"/>
      <c r="AM5" s="21">
        <f>MEDIAN(AE5:AK5)</f>
        <v>0.05</v>
      </c>
    </row>
    <row r="6" spans="1:39" x14ac:dyDescent="0.25">
      <c r="B6" t="s">
        <v>5</v>
      </c>
      <c r="C6" s="19">
        <v>0.23</v>
      </c>
      <c r="O6" s="1" t="s">
        <v>189</v>
      </c>
      <c r="P6" s="19">
        <v>0.2</v>
      </c>
      <c r="Q6" s="19"/>
      <c r="R6" s="19"/>
      <c r="S6" s="19"/>
      <c r="T6" s="19"/>
      <c r="U6" s="19"/>
      <c r="V6" s="19">
        <v>0.33</v>
      </c>
      <c r="X6" s="21"/>
      <c r="Y6" s="21"/>
      <c r="AA6" t="s">
        <v>2</v>
      </c>
      <c r="AB6" s="21">
        <f>Y11</f>
        <v>0.16500000000000001</v>
      </c>
      <c r="AD6" t="s">
        <v>2</v>
      </c>
      <c r="AE6" s="21">
        <f>P11</f>
        <v>0.01</v>
      </c>
      <c r="AF6" s="21">
        <f t="shared" ref="AF6:AK6" si="4">Q11</f>
        <v>0</v>
      </c>
      <c r="AG6" s="21">
        <f t="shared" si="4"/>
        <v>0.24</v>
      </c>
      <c r="AH6" s="21">
        <f t="shared" si="4"/>
        <v>0.14000000000000001</v>
      </c>
      <c r="AI6" s="21">
        <f t="shared" si="4"/>
        <v>0.19</v>
      </c>
      <c r="AJ6" s="21">
        <f t="shared" si="4"/>
        <v>0.375</v>
      </c>
      <c r="AK6" s="21">
        <f t="shared" si="4"/>
        <v>0.115</v>
      </c>
      <c r="AL6" s="21"/>
      <c r="AM6" s="21">
        <f>MEDIAN(AE6:AK6)</f>
        <v>0.14000000000000001</v>
      </c>
    </row>
    <row r="7" spans="1:39" x14ac:dyDescent="0.25">
      <c r="B7" t="s">
        <v>137</v>
      </c>
      <c r="C7" s="19">
        <v>0.14000000000000001</v>
      </c>
      <c r="O7" s="1" t="s">
        <v>151</v>
      </c>
      <c r="P7" s="19"/>
      <c r="Q7" s="19">
        <v>0.3</v>
      </c>
      <c r="R7" s="19">
        <v>0.06</v>
      </c>
      <c r="S7" s="19"/>
      <c r="T7" s="19"/>
      <c r="U7" s="19">
        <v>0.11</v>
      </c>
      <c r="V7" s="19"/>
      <c r="X7" s="21">
        <f t="shared" si="1"/>
        <v>0.15666666666666665</v>
      </c>
      <c r="Y7" s="21">
        <f t="shared" si="2"/>
        <v>0.11</v>
      </c>
    </row>
    <row r="8" spans="1:39" x14ac:dyDescent="0.25">
      <c r="B8" t="s">
        <v>2</v>
      </c>
      <c r="C8" s="19">
        <v>0.01</v>
      </c>
      <c r="O8" s="1" t="s">
        <v>5</v>
      </c>
      <c r="P8" s="19">
        <v>0.23</v>
      </c>
      <c r="Q8" s="19">
        <v>0.2</v>
      </c>
      <c r="R8" s="19">
        <v>0.58499999999999996</v>
      </c>
      <c r="S8" s="19">
        <f>(0.73+0.4)/2</f>
        <v>0.56499999999999995</v>
      </c>
      <c r="T8" s="19">
        <v>0.44</v>
      </c>
      <c r="U8" s="19">
        <f>0.06*2</f>
        <v>0.12</v>
      </c>
      <c r="V8" s="19">
        <v>0.11</v>
      </c>
      <c r="X8" s="21">
        <f t="shared" si="1"/>
        <v>0.32142857142857145</v>
      </c>
      <c r="Y8" s="21">
        <f t="shared" si="2"/>
        <v>0.23</v>
      </c>
      <c r="AE8" s="21">
        <f>SUM(AE4:AE6)</f>
        <v>0.98000000000000009</v>
      </c>
      <c r="AF8" s="21">
        <f t="shared" ref="AF8:AK8" si="5">SUM(AF4:AF6)</f>
        <v>1</v>
      </c>
      <c r="AG8" s="21">
        <f t="shared" si="5"/>
        <v>0.94500000000000006</v>
      </c>
      <c r="AH8" s="21">
        <f t="shared" si="5"/>
        <v>0.99</v>
      </c>
      <c r="AI8" s="21">
        <f t="shared" si="5"/>
        <v>1</v>
      </c>
      <c r="AJ8" s="21">
        <f t="shared" si="5"/>
        <v>1</v>
      </c>
      <c r="AK8" s="21">
        <f t="shared" si="5"/>
        <v>0.78500000000000003</v>
      </c>
      <c r="AM8" s="21">
        <f>SUM(AM4:AM6)</f>
        <v>0.89500000000000013</v>
      </c>
    </row>
    <row r="9" spans="1:39" x14ac:dyDescent="0.25">
      <c r="B9" t="s">
        <v>171</v>
      </c>
      <c r="C9" s="19">
        <v>0.02</v>
      </c>
      <c r="O9" s="1" t="s">
        <v>137</v>
      </c>
      <c r="P9" s="19">
        <v>0.14000000000000001</v>
      </c>
      <c r="Q9" s="19">
        <v>0.05</v>
      </c>
      <c r="R9" s="19">
        <v>0.06</v>
      </c>
      <c r="S9" s="19">
        <f>(0.32+0.15)/2</f>
        <v>0.23499999999999999</v>
      </c>
      <c r="T9" s="19">
        <v>0.11</v>
      </c>
      <c r="U9" s="19">
        <v>0.03</v>
      </c>
      <c r="V9" s="19">
        <v>0.02</v>
      </c>
      <c r="X9" s="21">
        <f t="shared" si="1"/>
        <v>9.2142857142857151E-2</v>
      </c>
      <c r="Y9" s="21">
        <f t="shared" si="2"/>
        <v>0.06</v>
      </c>
    </row>
    <row r="10" spans="1:39" x14ac:dyDescent="0.25">
      <c r="O10" s="1" t="s">
        <v>168</v>
      </c>
      <c r="P10" s="19"/>
      <c r="Q10" s="19"/>
      <c r="R10" s="19"/>
      <c r="S10" s="19"/>
      <c r="T10" s="19"/>
      <c r="U10" s="19"/>
      <c r="X10" s="21"/>
      <c r="Y10" s="21"/>
    </row>
    <row r="11" spans="1:39" x14ac:dyDescent="0.25">
      <c r="B11" s="1" t="s">
        <v>10</v>
      </c>
      <c r="C11" s="21">
        <f>SUM(C4:C9)</f>
        <v>1</v>
      </c>
      <c r="O11" s="1" t="s">
        <v>2</v>
      </c>
      <c r="P11" s="19">
        <v>0.01</v>
      </c>
      <c r="Q11" s="19"/>
      <c r="R11" s="19">
        <f>0.15+0.09</f>
        <v>0.24</v>
      </c>
      <c r="S11" s="19">
        <v>0.14000000000000001</v>
      </c>
      <c r="T11" s="19">
        <v>0.19</v>
      </c>
      <c r="U11" s="19">
        <v>0.375</v>
      </c>
      <c r="V11" s="19">
        <v>0.115</v>
      </c>
      <c r="X11" s="21">
        <f t="shared" si="1"/>
        <v>0.17833333333333334</v>
      </c>
      <c r="Y11" s="21">
        <f t="shared" si="2"/>
        <v>0.16500000000000001</v>
      </c>
    </row>
    <row r="12" spans="1:39" x14ac:dyDescent="0.25">
      <c r="O12" s="1" t="s">
        <v>171</v>
      </c>
      <c r="P12" s="19">
        <v>0.02</v>
      </c>
      <c r="Q12" s="19"/>
      <c r="R12" s="19">
        <v>5.5E-2</v>
      </c>
      <c r="S12" s="19"/>
      <c r="T12" s="19"/>
      <c r="U12" s="19"/>
      <c r="V12" s="19">
        <v>0.21</v>
      </c>
      <c r="X12" s="21"/>
      <c r="Y12" s="21"/>
    </row>
    <row r="13" spans="1:39" x14ac:dyDescent="0.25">
      <c r="B13" s="1" t="s">
        <v>142</v>
      </c>
      <c r="O13" s="1" t="s">
        <v>7</v>
      </c>
      <c r="P13" s="19"/>
      <c r="Q13" s="19"/>
      <c r="R13" s="19"/>
      <c r="S13" s="19">
        <v>0.01</v>
      </c>
      <c r="T13" s="19"/>
      <c r="U13" s="19"/>
      <c r="X13" s="21">
        <v>0</v>
      </c>
      <c r="Y13" s="21">
        <v>0</v>
      </c>
    </row>
    <row r="14" spans="1:39" x14ac:dyDescent="0.25">
      <c r="V14" s="21"/>
      <c r="Y14" s="21"/>
    </row>
    <row r="15" spans="1:39" x14ac:dyDescent="0.25">
      <c r="A15" s="1" t="s">
        <v>148</v>
      </c>
      <c r="C15" s="1">
        <v>2020</v>
      </c>
      <c r="D15" s="1">
        <v>2030</v>
      </c>
      <c r="F15" s="1" t="s">
        <v>149</v>
      </c>
      <c r="H15" s="1">
        <v>2020</v>
      </c>
      <c r="I15" s="1">
        <v>2030</v>
      </c>
      <c r="P15" s="21">
        <f>SUM(P5:P10)</f>
        <v>0.57000000000000006</v>
      </c>
      <c r="Q15" s="21">
        <f t="shared" ref="Q15:V15" si="6">SUM(Q5:Q10)</f>
        <v>1</v>
      </c>
      <c r="R15" s="21">
        <f t="shared" si="6"/>
        <v>0.70500000000000007</v>
      </c>
      <c r="S15" s="21">
        <f t="shared" si="6"/>
        <v>0.79999999999999993</v>
      </c>
      <c r="T15" s="21">
        <f t="shared" si="6"/>
        <v>0.78999999999999992</v>
      </c>
      <c r="U15" s="21">
        <f t="shared" si="6"/>
        <v>0.30000000000000004</v>
      </c>
      <c r="V15" s="21">
        <f t="shared" si="6"/>
        <v>0.46</v>
      </c>
      <c r="X15" s="21">
        <f>SUM(X4:X13)</f>
        <v>1.1929047619047619</v>
      </c>
      <c r="Y15" s="21">
        <f>SUM(Y4:Y13)</f>
        <v>1.0149999999999999</v>
      </c>
    </row>
    <row r="16" spans="1:39" x14ac:dyDescent="0.25">
      <c r="B16" s="1" t="s">
        <v>144</v>
      </c>
      <c r="C16" s="19">
        <v>0.45</v>
      </c>
      <c r="D16" s="19">
        <v>0.09</v>
      </c>
      <c r="G16" s="1" t="s">
        <v>144</v>
      </c>
      <c r="H16" s="19">
        <v>0.45</v>
      </c>
      <c r="I16" s="19">
        <v>0.22500000000000001</v>
      </c>
    </row>
    <row r="17" spans="1:30" x14ac:dyDescent="0.25">
      <c r="B17" s="1" t="s">
        <v>4</v>
      </c>
      <c r="C17" s="19">
        <v>0.3</v>
      </c>
      <c r="D17" s="19">
        <v>0.14000000000000001</v>
      </c>
      <c r="G17" s="1" t="s">
        <v>4</v>
      </c>
      <c r="H17" s="19">
        <v>0.3</v>
      </c>
      <c r="I17" s="19">
        <v>0.2</v>
      </c>
      <c r="O17" s="90">
        <v>2030</v>
      </c>
      <c r="P17" s="90"/>
      <c r="Q17" s="90"/>
      <c r="R17" s="90"/>
      <c r="S17" s="90"/>
      <c r="T17" s="90"/>
      <c r="U17" s="90"/>
      <c r="V17" s="90"/>
      <c r="W17" s="90"/>
      <c r="X17" s="90"/>
    </row>
    <row r="18" spans="1:30" x14ac:dyDescent="0.25">
      <c r="B18" s="1" t="s">
        <v>145</v>
      </c>
      <c r="C18" s="19">
        <v>0.2</v>
      </c>
      <c r="D18" s="19">
        <v>0.3</v>
      </c>
      <c r="G18" s="1" t="s">
        <v>145</v>
      </c>
      <c r="H18" s="19">
        <v>0.2</v>
      </c>
      <c r="I18" s="19">
        <v>0.26300000000000001</v>
      </c>
      <c r="P18" s="1" t="s">
        <v>174</v>
      </c>
      <c r="Q18" s="1" t="s">
        <v>180</v>
      </c>
      <c r="R18" s="1" t="s">
        <v>176</v>
      </c>
      <c r="S18" s="1" t="s">
        <v>178</v>
      </c>
      <c r="T18" s="1" t="s">
        <v>182</v>
      </c>
      <c r="U18" s="1" t="s">
        <v>179</v>
      </c>
      <c r="V18" s="1" t="s">
        <v>184</v>
      </c>
      <c r="W18" s="1" t="s">
        <v>183</v>
      </c>
      <c r="X18" s="1" t="s">
        <v>185</v>
      </c>
      <c r="Y18" s="1" t="s">
        <v>186</v>
      </c>
    </row>
    <row r="19" spans="1:30" x14ac:dyDescent="0.25">
      <c r="B19" s="1" t="s">
        <v>146</v>
      </c>
      <c r="C19" s="19">
        <v>0.05</v>
      </c>
      <c r="D19" s="19">
        <v>0.47</v>
      </c>
      <c r="G19" s="1" t="s">
        <v>146</v>
      </c>
      <c r="H19" s="19">
        <v>0.05</v>
      </c>
      <c r="I19" s="19">
        <v>0.312</v>
      </c>
      <c r="O19" s="1" t="s">
        <v>8</v>
      </c>
      <c r="P19" s="19"/>
      <c r="Q19" s="19"/>
      <c r="R19" s="19"/>
      <c r="S19" s="19">
        <v>0.01</v>
      </c>
      <c r="T19" s="19">
        <v>0.01</v>
      </c>
      <c r="U19" s="19"/>
      <c r="V19" s="19">
        <v>2.5000000000000001E-2</v>
      </c>
      <c r="W19" s="19">
        <v>0.61</v>
      </c>
      <c r="X19" s="19">
        <v>0.03</v>
      </c>
      <c r="Y19" s="19">
        <v>0.14000000000000001</v>
      </c>
      <c r="AA19" s="21">
        <f>MEDIAN(P19:Y19)</f>
        <v>2.75E-2</v>
      </c>
    </row>
    <row r="20" spans="1:30" x14ac:dyDescent="0.25">
      <c r="O20" s="1" t="s">
        <v>164</v>
      </c>
      <c r="P20" s="19">
        <v>0.09</v>
      </c>
      <c r="Q20" s="19">
        <v>0.23</v>
      </c>
      <c r="R20" s="19"/>
      <c r="S20" s="19"/>
      <c r="T20" s="19"/>
      <c r="U20" s="19">
        <v>0.08</v>
      </c>
      <c r="V20" s="19">
        <v>0.02</v>
      </c>
      <c r="W20" s="19">
        <v>0.01</v>
      </c>
      <c r="X20" s="19">
        <v>0.03</v>
      </c>
      <c r="Y20" s="19"/>
      <c r="AA20" s="21">
        <f t="shared" ref="AA20:AA25" si="7">MEDIAN(P20:Y20)</f>
        <v>5.5E-2</v>
      </c>
      <c r="AC20" t="s">
        <v>232</v>
      </c>
      <c r="AD20" s="21">
        <f>SUM(AA20:AA24)</f>
        <v>0.89250000000000007</v>
      </c>
    </row>
    <row r="21" spans="1:30" x14ac:dyDescent="0.25">
      <c r="C21" s="21">
        <f>SUM(C16:C19)</f>
        <v>1</v>
      </c>
      <c r="D21" s="21">
        <f>SUM(D16:D19)</f>
        <v>1</v>
      </c>
      <c r="H21" s="21">
        <f>SUM(H16:H19)</f>
        <v>1</v>
      </c>
      <c r="I21" s="21">
        <f>SUM(I16:I19)</f>
        <v>1</v>
      </c>
      <c r="O21" s="1" t="s">
        <v>151</v>
      </c>
      <c r="P21" s="19">
        <v>0.14000000000000001</v>
      </c>
      <c r="Q21" s="19">
        <v>0.2</v>
      </c>
      <c r="R21" s="19"/>
      <c r="S21" s="19"/>
      <c r="T21" s="19"/>
      <c r="U21" s="19"/>
      <c r="V21" s="19">
        <v>3.5000000000000003E-2</v>
      </c>
      <c r="W21" s="19">
        <v>0.02</v>
      </c>
      <c r="X21" s="19">
        <v>0.03</v>
      </c>
      <c r="Y21" s="19">
        <v>0.16</v>
      </c>
      <c r="Z21" s="19"/>
      <c r="AA21" s="21">
        <f t="shared" si="7"/>
        <v>8.7500000000000008E-2</v>
      </c>
      <c r="AC21" t="s">
        <v>8</v>
      </c>
      <c r="AD21" s="21">
        <f>AA19</f>
        <v>2.75E-2</v>
      </c>
    </row>
    <row r="22" spans="1:30" x14ac:dyDescent="0.25">
      <c r="O22" s="1" t="s">
        <v>5</v>
      </c>
      <c r="P22" s="19">
        <v>0.3</v>
      </c>
      <c r="Q22" s="19">
        <v>0.26</v>
      </c>
      <c r="R22" s="19">
        <v>0.13</v>
      </c>
      <c r="S22" s="19">
        <v>0.25</v>
      </c>
      <c r="T22" s="19">
        <v>0.34</v>
      </c>
      <c r="U22" s="19">
        <v>0.35</v>
      </c>
      <c r="V22" s="19">
        <v>0.28000000000000003</v>
      </c>
      <c r="W22" s="19">
        <v>0.11</v>
      </c>
      <c r="X22" s="19">
        <v>0.28000000000000003</v>
      </c>
      <c r="Y22" s="19">
        <v>0.16</v>
      </c>
      <c r="AA22" s="21">
        <f t="shared" si="7"/>
        <v>0.27</v>
      </c>
      <c r="AC22" t="s">
        <v>2</v>
      </c>
      <c r="AD22" s="21">
        <f>AA25</f>
        <v>0.125</v>
      </c>
    </row>
    <row r="23" spans="1:30" x14ac:dyDescent="0.25">
      <c r="A23" s="1" t="s">
        <v>158</v>
      </c>
      <c r="O23" s="1" t="s">
        <v>137</v>
      </c>
      <c r="P23" s="19">
        <v>0.47</v>
      </c>
      <c r="Q23" s="19">
        <v>0.31</v>
      </c>
      <c r="R23" s="19">
        <v>0.28000000000000003</v>
      </c>
      <c r="S23" s="19">
        <v>0.70499999999999996</v>
      </c>
      <c r="T23" s="19">
        <v>0.19</v>
      </c>
      <c r="U23" s="19">
        <v>0.26</v>
      </c>
      <c r="V23" s="19">
        <v>0.25</v>
      </c>
      <c r="W23" s="19">
        <v>0.1</v>
      </c>
      <c r="X23" s="19">
        <v>0.24</v>
      </c>
      <c r="Y23" s="19">
        <v>0.46</v>
      </c>
      <c r="AA23" s="21">
        <f t="shared" si="7"/>
        <v>0.27</v>
      </c>
    </row>
    <row r="24" spans="1:30" x14ac:dyDescent="0.25">
      <c r="A24" s="1"/>
      <c r="O24" s="1" t="s">
        <v>168</v>
      </c>
      <c r="P24" s="19"/>
      <c r="Q24" s="19"/>
      <c r="R24" s="19"/>
      <c r="S24" s="19"/>
      <c r="T24" s="19">
        <v>0.38</v>
      </c>
      <c r="U24" s="19">
        <v>0.21</v>
      </c>
      <c r="V24" s="19">
        <v>0.01</v>
      </c>
      <c r="W24" s="19"/>
      <c r="X24" s="19"/>
      <c r="Y24" s="19"/>
      <c r="AA24" s="21">
        <f t="shared" si="7"/>
        <v>0.21</v>
      </c>
      <c r="AD24" s="21"/>
    </row>
    <row r="25" spans="1:30" x14ac:dyDescent="0.25">
      <c r="A25" s="1"/>
      <c r="C25" s="1">
        <v>2020</v>
      </c>
      <c r="D25" s="1">
        <v>2030</v>
      </c>
      <c r="O25" s="1" t="s">
        <v>2</v>
      </c>
      <c r="P25" s="19"/>
      <c r="Q25" s="19"/>
      <c r="R25" s="19">
        <v>0.2</v>
      </c>
      <c r="S25" s="19">
        <v>3.5000000000000003E-2</v>
      </c>
      <c r="T25" s="19">
        <v>7.4999999999999997E-2</v>
      </c>
      <c r="U25" s="19">
        <v>0.1</v>
      </c>
      <c r="V25" s="19">
        <v>0.38</v>
      </c>
      <c r="W25" s="19">
        <v>0.15</v>
      </c>
      <c r="X25" s="19">
        <v>0.39</v>
      </c>
      <c r="Y25" s="19">
        <v>0.05</v>
      </c>
      <c r="AA25" s="21">
        <f t="shared" si="7"/>
        <v>0.125</v>
      </c>
    </row>
    <row r="26" spans="1:30" x14ac:dyDescent="0.25">
      <c r="B26" t="s">
        <v>159</v>
      </c>
      <c r="C26" s="19">
        <v>5.5E-2</v>
      </c>
      <c r="D26" s="19">
        <v>0.05</v>
      </c>
      <c r="O26" s="1" t="s">
        <v>171</v>
      </c>
      <c r="P26" s="19"/>
      <c r="Q26" s="19"/>
      <c r="R26" s="19">
        <v>0.05</v>
      </c>
      <c r="S26" s="19"/>
      <c r="T26" s="19"/>
      <c r="U26" s="19"/>
      <c r="V26" s="19"/>
      <c r="W26" s="19"/>
      <c r="X26" s="19"/>
      <c r="Y26" s="19">
        <v>0.03</v>
      </c>
      <c r="AA26" s="21"/>
    </row>
    <row r="27" spans="1:30" x14ac:dyDescent="0.25">
      <c r="B27" t="s">
        <v>161</v>
      </c>
      <c r="C27" s="19">
        <v>0.15</v>
      </c>
      <c r="D27" s="19">
        <v>0.19</v>
      </c>
      <c r="O27" s="1" t="s">
        <v>7</v>
      </c>
      <c r="P27" s="19"/>
      <c r="Q27" s="19"/>
      <c r="R27" s="19"/>
      <c r="S27" s="19"/>
      <c r="T27" s="19">
        <v>5.0000000000000001E-3</v>
      </c>
      <c r="U27" s="19"/>
      <c r="V27" s="19"/>
      <c r="W27" s="19"/>
      <c r="X27" s="19"/>
      <c r="AA27" s="21"/>
    </row>
    <row r="28" spans="1:30" x14ac:dyDescent="0.25">
      <c r="B28" t="s">
        <v>160</v>
      </c>
      <c r="C28" s="19">
        <v>9.5000000000000001E-2</v>
      </c>
      <c r="D28" s="19">
        <v>0.01</v>
      </c>
      <c r="O28" s="1" t="s">
        <v>162</v>
      </c>
      <c r="R28" s="19">
        <v>0.34</v>
      </c>
      <c r="V28" s="19"/>
      <c r="W28" s="19"/>
      <c r="X28" s="19"/>
      <c r="Y28" s="21"/>
      <c r="AA28" s="21"/>
    </row>
    <row r="29" spans="1:30" x14ac:dyDescent="0.25">
      <c r="B29" t="s">
        <v>162</v>
      </c>
      <c r="C29" s="19">
        <v>0</v>
      </c>
      <c r="D29" s="19">
        <v>0.34</v>
      </c>
      <c r="AA29" s="21">
        <f>SUM(AA19:AA27)</f>
        <v>1.0449999999999999</v>
      </c>
    </row>
    <row r="30" spans="1:30" x14ac:dyDescent="0.25">
      <c r="B30" t="s">
        <v>137</v>
      </c>
      <c r="C30" s="19">
        <v>0.06</v>
      </c>
      <c r="D30" s="19">
        <v>0.28000000000000003</v>
      </c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30" x14ac:dyDescent="0.25">
      <c r="B31" t="s">
        <v>5</v>
      </c>
      <c r="C31" s="19">
        <v>0.57999999999999996</v>
      </c>
      <c r="D31" s="19">
        <v>0.13</v>
      </c>
      <c r="X31" s="20"/>
      <c r="Y31" s="20"/>
      <c r="Z31" s="20"/>
    </row>
    <row r="32" spans="1:30" x14ac:dyDescent="0.25">
      <c r="B32" t="s">
        <v>151</v>
      </c>
      <c r="C32" s="19">
        <v>0.06</v>
      </c>
      <c r="D32" s="19">
        <v>0</v>
      </c>
      <c r="O32" s="90">
        <v>2040</v>
      </c>
      <c r="P32" s="90"/>
      <c r="Q32" s="90"/>
      <c r="R32" s="90"/>
      <c r="S32" s="90"/>
      <c r="T32" s="66"/>
      <c r="U32" s="66"/>
      <c r="V32" s="90">
        <v>2040</v>
      </c>
      <c r="W32" s="90"/>
      <c r="X32" s="90"/>
      <c r="Y32" s="90"/>
      <c r="Z32" s="90"/>
    </row>
    <row r="33" spans="1:26" x14ac:dyDescent="0.25">
      <c r="O33" s="1"/>
      <c r="P33" s="1" t="s">
        <v>195</v>
      </c>
      <c r="Q33" s="1" t="s">
        <v>196</v>
      </c>
      <c r="R33" s="1" t="s">
        <v>197</v>
      </c>
      <c r="S33" s="1"/>
      <c r="V33" s="1"/>
      <c r="W33" s="1" t="s">
        <v>195</v>
      </c>
      <c r="X33" s="1" t="s">
        <v>196</v>
      </c>
      <c r="Y33" s="1" t="s">
        <v>197</v>
      </c>
      <c r="Z33" s="1" t="s">
        <v>198</v>
      </c>
    </row>
    <row r="34" spans="1:26" x14ac:dyDescent="0.25">
      <c r="B34" s="1" t="s">
        <v>10</v>
      </c>
      <c r="C34" s="21">
        <f>SUM(C26:C32)</f>
        <v>1</v>
      </c>
      <c r="D34" s="21">
        <f>SUM(D26:D32)</f>
        <v>1</v>
      </c>
      <c r="O34" t="s">
        <v>2</v>
      </c>
      <c r="P34" s="19">
        <v>0</v>
      </c>
      <c r="Q34" s="19">
        <v>0.32</v>
      </c>
      <c r="R34" s="19">
        <v>0.125</v>
      </c>
      <c r="S34" s="19"/>
      <c r="T34" s="21">
        <f>MEDIAN(P34:R34)</f>
        <v>0.125</v>
      </c>
      <c r="U34" s="21"/>
      <c r="V34" t="s">
        <v>2</v>
      </c>
      <c r="W34" s="19">
        <v>0</v>
      </c>
      <c r="X34" s="19">
        <v>0.32</v>
      </c>
      <c r="Y34" s="19">
        <v>0.125</v>
      </c>
      <c r="Z34" s="19">
        <v>0.12</v>
      </c>
    </row>
    <row r="35" spans="1:26" x14ac:dyDescent="0.25">
      <c r="O35" t="s">
        <v>144</v>
      </c>
      <c r="P35" s="19">
        <v>0</v>
      </c>
      <c r="Q35" s="19">
        <v>1.4999999999999999E-2</v>
      </c>
      <c r="R35" s="19">
        <v>0.01</v>
      </c>
      <c r="S35" s="19"/>
      <c r="T35" s="21">
        <f t="shared" ref="T35:T40" si="8">MEDIAN(P35:R35)</f>
        <v>0.01</v>
      </c>
      <c r="U35" s="21"/>
      <c r="V35" t="s">
        <v>144</v>
      </c>
      <c r="W35" s="19">
        <v>0</v>
      </c>
      <c r="X35" s="19">
        <v>1.4999999999999999E-2</v>
      </c>
      <c r="Y35" s="19">
        <v>0.01</v>
      </c>
      <c r="Z35" s="19">
        <v>0.01</v>
      </c>
    </row>
    <row r="36" spans="1:26" x14ac:dyDescent="0.25">
      <c r="O36" t="s">
        <v>151</v>
      </c>
      <c r="P36" s="19">
        <v>0</v>
      </c>
      <c r="Q36" s="19">
        <v>0.03</v>
      </c>
      <c r="R36" s="19">
        <v>0.01</v>
      </c>
      <c r="S36" s="19"/>
      <c r="T36" s="21">
        <f t="shared" si="8"/>
        <v>0.01</v>
      </c>
      <c r="U36" s="21"/>
      <c r="V36" t="s">
        <v>151</v>
      </c>
      <c r="W36" s="19">
        <v>0</v>
      </c>
      <c r="X36" s="19">
        <v>0.03</v>
      </c>
      <c r="Y36" s="19">
        <v>0.01</v>
      </c>
      <c r="Z36" s="19">
        <v>0.01</v>
      </c>
    </row>
    <row r="37" spans="1:26" x14ac:dyDescent="0.25">
      <c r="A37" s="1" t="s">
        <v>163</v>
      </c>
      <c r="O37" t="s">
        <v>5</v>
      </c>
      <c r="P37" s="19">
        <v>0.24</v>
      </c>
      <c r="Q37" s="19">
        <v>0.12</v>
      </c>
      <c r="R37" s="19">
        <v>0.05</v>
      </c>
      <c r="S37" s="19"/>
      <c r="T37" s="21">
        <f>MEDIAN(P37,(Q41 +Q37),(R37+R41))</f>
        <v>0.22999999999999998</v>
      </c>
      <c r="U37" s="21"/>
      <c r="V37" t="s">
        <v>5</v>
      </c>
      <c r="W37" s="19">
        <v>0.24</v>
      </c>
      <c r="X37" s="19">
        <v>0.12</v>
      </c>
      <c r="Y37" s="19">
        <v>0.05</v>
      </c>
      <c r="Z37" s="19">
        <v>0.05</v>
      </c>
    </row>
    <row r="38" spans="1:26" x14ac:dyDescent="0.25">
      <c r="O38" t="s">
        <v>146</v>
      </c>
      <c r="P38" s="19">
        <v>0.36</v>
      </c>
      <c r="Q38" s="19"/>
      <c r="T38" s="21">
        <f>MEDIAN(P38,(Q42),R42)</f>
        <v>0.21</v>
      </c>
      <c r="U38" s="21"/>
      <c r="V38" t="s">
        <v>146</v>
      </c>
      <c r="W38" s="19">
        <v>0.36</v>
      </c>
      <c r="X38" s="19"/>
    </row>
    <row r="39" spans="1:26" x14ac:dyDescent="0.25">
      <c r="B39" s="1" t="s">
        <v>165</v>
      </c>
      <c r="C39" s="1">
        <v>2020</v>
      </c>
      <c r="D39" s="1">
        <v>2030</v>
      </c>
      <c r="G39" s="1" t="s">
        <v>166</v>
      </c>
      <c r="H39" s="1">
        <v>2020</v>
      </c>
      <c r="I39" s="1">
        <v>2030</v>
      </c>
      <c r="O39" t="s">
        <v>173</v>
      </c>
      <c r="P39" s="19">
        <v>0.4</v>
      </c>
      <c r="Q39" s="19"/>
      <c r="T39" s="21">
        <f>MEDIAN(P39,Q43,R43)</f>
        <v>0.17</v>
      </c>
      <c r="U39" s="21"/>
      <c r="V39" t="s">
        <v>173</v>
      </c>
      <c r="W39" s="19">
        <v>0.4</v>
      </c>
      <c r="X39" s="19"/>
    </row>
    <row r="40" spans="1:26" x14ac:dyDescent="0.25">
      <c r="B40" t="s">
        <v>7</v>
      </c>
      <c r="C40" s="19">
        <v>0</v>
      </c>
      <c r="D40" s="19">
        <v>0</v>
      </c>
      <c r="G40" t="s">
        <v>7</v>
      </c>
      <c r="H40" s="19">
        <v>0.02</v>
      </c>
      <c r="I40" s="19">
        <v>0</v>
      </c>
      <c r="O40" t="s">
        <v>8</v>
      </c>
      <c r="P40" s="19">
        <v>0</v>
      </c>
      <c r="Q40" s="19">
        <v>2.5000000000000001E-2</v>
      </c>
      <c r="R40" s="19">
        <v>0.60499999999999998</v>
      </c>
      <c r="S40" s="19"/>
      <c r="T40" s="21">
        <f t="shared" si="8"/>
        <v>2.5000000000000001E-2</v>
      </c>
      <c r="U40" s="21"/>
      <c r="V40" t="s">
        <v>8</v>
      </c>
      <c r="W40" s="19">
        <v>0</v>
      </c>
      <c r="X40" s="19">
        <v>2.5000000000000001E-2</v>
      </c>
      <c r="Y40" s="19">
        <v>0.60499999999999998</v>
      </c>
      <c r="Z40" s="19">
        <v>0.01</v>
      </c>
    </row>
    <row r="41" spans="1:26" x14ac:dyDescent="0.25">
      <c r="B41" t="s">
        <v>8</v>
      </c>
      <c r="C41" s="19">
        <v>0.1</v>
      </c>
      <c r="D41" s="19">
        <v>0.02</v>
      </c>
      <c r="G41" t="s">
        <v>8</v>
      </c>
      <c r="H41" s="19">
        <v>0</v>
      </c>
      <c r="I41" s="19">
        <v>0</v>
      </c>
      <c r="O41" t="s">
        <v>152</v>
      </c>
      <c r="Q41" s="19">
        <v>0.11</v>
      </c>
      <c r="R41" s="19">
        <v>0.05</v>
      </c>
      <c r="S41" s="19"/>
      <c r="T41" s="21"/>
      <c r="U41" s="21"/>
      <c r="V41" t="s">
        <v>152</v>
      </c>
      <c r="X41" s="19">
        <v>0.11</v>
      </c>
      <c r="Y41" s="19">
        <v>0.05</v>
      </c>
      <c r="Z41" s="19">
        <v>0.04</v>
      </c>
    </row>
    <row r="42" spans="1:26" x14ac:dyDescent="0.25">
      <c r="B42" t="s">
        <v>2</v>
      </c>
      <c r="C42" s="19">
        <v>0.02</v>
      </c>
      <c r="D42" s="19">
        <v>0</v>
      </c>
      <c r="G42" t="s">
        <v>2</v>
      </c>
      <c r="H42" s="19">
        <v>0.26</v>
      </c>
      <c r="I42" s="19">
        <v>7.0000000000000007E-2</v>
      </c>
      <c r="O42" t="s">
        <v>153</v>
      </c>
      <c r="Q42" s="19">
        <v>0.21</v>
      </c>
      <c r="R42" s="19">
        <v>0.08</v>
      </c>
      <c r="S42" s="19"/>
      <c r="T42" s="21"/>
      <c r="U42" s="21"/>
      <c r="V42" t="s">
        <v>153</v>
      </c>
      <c r="X42" s="19">
        <v>0.21</v>
      </c>
      <c r="Y42" s="19">
        <v>0.08</v>
      </c>
      <c r="Z42" s="19">
        <v>0.08</v>
      </c>
    </row>
    <row r="43" spans="1:26" x14ac:dyDescent="0.25">
      <c r="B43" t="s">
        <v>164</v>
      </c>
      <c r="C43" s="19">
        <v>0</v>
      </c>
      <c r="D43" s="19">
        <v>0</v>
      </c>
      <c r="G43" t="s">
        <v>164</v>
      </c>
      <c r="H43" s="19">
        <v>0</v>
      </c>
      <c r="I43" s="19">
        <v>0</v>
      </c>
      <c r="O43" t="s">
        <v>154</v>
      </c>
      <c r="Q43" s="19">
        <v>0.17</v>
      </c>
      <c r="R43" s="19">
        <v>7.0000000000000007E-2</v>
      </c>
      <c r="S43" s="19"/>
      <c r="T43" s="21"/>
      <c r="U43" s="21"/>
      <c r="V43" t="s">
        <v>154</v>
      </c>
      <c r="X43" s="19">
        <v>0.17</v>
      </c>
      <c r="Y43" s="19">
        <v>7.0000000000000007E-2</v>
      </c>
      <c r="Z43" s="19">
        <v>7.0000000000000007E-2</v>
      </c>
    </row>
    <row r="44" spans="1:26" x14ac:dyDescent="0.25">
      <c r="B44" t="s">
        <v>5</v>
      </c>
      <c r="C44" s="19">
        <v>0.73</v>
      </c>
      <c r="D44" s="19">
        <v>0.34</v>
      </c>
      <c r="G44" t="s">
        <v>5</v>
      </c>
      <c r="H44" s="19">
        <v>0.4</v>
      </c>
      <c r="I44" s="19">
        <v>0.16</v>
      </c>
      <c r="O44" t="s">
        <v>156</v>
      </c>
      <c r="S44" s="19"/>
      <c r="U44" s="21"/>
      <c r="V44" t="s">
        <v>156</v>
      </c>
      <c r="Z44" s="19">
        <v>0.31</v>
      </c>
    </row>
    <row r="45" spans="1:26" x14ac:dyDescent="0.25">
      <c r="B45" t="s">
        <v>137</v>
      </c>
      <c r="C45" s="19">
        <v>0.15</v>
      </c>
      <c r="D45" s="19">
        <v>0.64</v>
      </c>
      <c r="G45" t="s">
        <v>137</v>
      </c>
      <c r="H45" s="19">
        <v>0.32</v>
      </c>
      <c r="I45" s="19">
        <v>0.77</v>
      </c>
      <c r="M45" s="53"/>
      <c r="O45" t="s">
        <v>157</v>
      </c>
      <c r="S45" s="19"/>
      <c r="U45" s="21"/>
      <c r="V45" t="s">
        <v>157</v>
      </c>
      <c r="Z45" s="19">
        <v>0.3</v>
      </c>
    </row>
    <row r="46" spans="1:26" x14ac:dyDescent="0.25">
      <c r="T46" s="21">
        <f>SUM(T34:T43)</f>
        <v>0.78</v>
      </c>
    </row>
    <row r="47" spans="1:26" x14ac:dyDescent="0.25">
      <c r="B47" s="1" t="s">
        <v>10</v>
      </c>
      <c r="C47" s="21">
        <f>SUM(C40:C45)</f>
        <v>1</v>
      </c>
      <c r="D47" s="21">
        <f>SUM(D40:D45)</f>
        <v>1</v>
      </c>
      <c r="G47" s="1" t="s">
        <v>10</v>
      </c>
      <c r="H47" s="21">
        <f>SUM(H40:H45)</f>
        <v>1</v>
      </c>
      <c r="I47" s="21">
        <f>SUM(I40:I45)</f>
        <v>1</v>
      </c>
      <c r="U47" s="21"/>
      <c r="W47" s="1"/>
      <c r="Y47" s="1"/>
      <c r="Z47" s="1"/>
    </row>
    <row r="48" spans="1:26" x14ac:dyDescent="0.25">
      <c r="O48" s="90">
        <v>2050</v>
      </c>
      <c r="P48" s="90"/>
      <c r="Q48" s="90"/>
      <c r="R48" s="90"/>
      <c r="S48" s="90"/>
      <c r="V48" s="90">
        <v>2050</v>
      </c>
      <c r="W48" s="90"/>
      <c r="X48" s="90"/>
      <c r="Y48" s="90"/>
      <c r="Z48" s="90"/>
    </row>
    <row r="49" spans="1:26" x14ac:dyDescent="0.25">
      <c r="O49" s="1"/>
      <c r="P49" s="1" t="s">
        <v>195</v>
      </c>
      <c r="Q49" s="1" t="s">
        <v>196</v>
      </c>
      <c r="R49" s="1" t="s">
        <v>197</v>
      </c>
      <c r="S49" s="1"/>
      <c r="V49" s="1"/>
      <c r="W49" s="1" t="s">
        <v>195</v>
      </c>
      <c r="X49" s="1" t="s">
        <v>196</v>
      </c>
      <c r="Y49" s="1" t="s">
        <v>197</v>
      </c>
      <c r="Z49" s="1" t="s">
        <v>198</v>
      </c>
    </row>
    <row r="50" spans="1:26" x14ac:dyDescent="0.25">
      <c r="A50" s="1" t="s">
        <v>167</v>
      </c>
      <c r="O50" t="s">
        <v>2</v>
      </c>
      <c r="P50" s="19">
        <v>0</v>
      </c>
      <c r="Q50" s="19">
        <v>0.255</v>
      </c>
      <c r="R50" s="19">
        <v>0.1</v>
      </c>
      <c r="S50" s="19"/>
      <c r="T50" s="21">
        <f>MEDIAN(P50:R50)</f>
        <v>0.1</v>
      </c>
      <c r="V50" t="s">
        <v>2</v>
      </c>
      <c r="W50" s="19">
        <v>0</v>
      </c>
      <c r="X50" s="19">
        <v>0.255</v>
      </c>
      <c r="Y50" s="19">
        <v>0.1</v>
      </c>
      <c r="Z50" s="19">
        <v>9.5000000000000001E-2</v>
      </c>
    </row>
    <row r="51" spans="1:26" x14ac:dyDescent="0.25">
      <c r="O51" t="s">
        <v>144</v>
      </c>
      <c r="P51" s="19">
        <v>0</v>
      </c>
      <c r="Q51" s="19">
        <v>1.4999999999999999E-2</v>
      </c>
      <c r="R51" s="19">
        <v>5.0000000000000001E-3</v>
      </c>
      <c r="S51" s="19"/>
      <c r="T51" s="21">
        <f>MEDIAN(P51:R51)</f>
        <v>5.0000000000000001E-3</v>
      </c>
      <c r="V51" t="s">
        <v>144</v>
      </c>
      <c r="W51" s="19">
        <v>0</v>
      </c>
      <c r="X51" s="19">
        <v>1.4999999999999999E-2</v>
      </c>
      <c r="Y51" s="19">
        <v>5.0000000000000001E-3</v>
      </c>
      <c r="Z51" s="19">
        <v>0.01</v>
      </c>
    </row>
    <row r="52" spans="1:26" x14ac:dyDescent="0.25">
      <c r="B52" s="1" t="s">
        <v>165</v>
      </c>
      <c r="C52" s="1">
        <v>2020</v>
      </c>
      <c r="D52" s="1">
        <v>2030</v>
      </c>
      <c r="G52" s="1" t="s">
        <v>166</v>
      </c>
      <c r="H52" s="1">
        <v>2020</v>
      </c>
      <c r="I52" s="1">
        <v>2030</v>
      </c>
      <c r="O52" t="s">
        <v>151</v>
      </c>
      <c r="P52" s="19">
        <v>0</v>
      </c>
      <c r="Q52" s="19">
        <v>0.02</v>
      </c>
      <c r="R52" s="19">
        <v>0.01</v>
      </c>
      <c r="S52" s="19"/>
      <c r="T52" s="21">
        <f>MEDIAN(P52:R52)</f>
        <v>0.01</v>
      </c>
      <c r="V52" t="s">
        <v>151</v>
      </c>
      <c r="W52" s="19">
        <v>0</v>
      </c>
      <c r="X52" s="19">
        <v>0.02</v>
      </c>
      <c r="Y52" s="19">
        <v>0.01</v>
      </c>
      <c r="Z52" s="19">
        <v>0.01</v>
      </c>
    </row>
    <row r="53" spans="1:26" x14ac:dyDescent="0.25">
      <c r="B53" t="s">
        <v>7</v>
      </c>
      <c r="C53" s="19">
        <v>0</v>
      </c>
      <c r="D53" s="19">
        <v>0</v>
      </c>
      <c r="G53" t="s">
        <v>7</v>
      </c>
      <c r="H53" s="19">
        <v>0.02</v>
      </c>
      <c r="I53" s="19">
        <v>0.01</v>
      </c>
      <c r="O53" t="s">
        <v>5</v>
      </c>
      <c r="P53" s="19">
        <v>0.1</v>
      </c>
      <c r="Q53" s="19">
        <v>0.09</v>
      </c>
      <c r="R53" s="19">
        <v>0.04</v>
      </c>
      <c r="S53" s="19"/>
      <c r="T53" s="21">
        <f>MEDIAN(P53,(Q53+Q56),(R53+R56))</f>
        <v>0.11</v>
      </c>
      <c r="V53" t="s">
        <v>5</v>
      </c>
      <c r="W53" s="19">
        <v>0.1</v>
      </c>
      <c r="X53" s="19">
        <v>0.09</v>
      </c>
      <c r="Y53" s="19">
        <v>0.04</v>
      </c>
      <c r="Z53" s="19">
        <v>0.04</v>
      </c>
    </row>
    <row r="54" spans="1:26" x14ac:dyDescent="0.25">
      <c r="B54" t="s">
        <v>8</v>
      </c>
      <c r="C54" s="19">
        <v>0.1</v>
      </c>
      <c r="D54" s="19">
        <v>0.02</v>
      </c>
      <c r="G54" t="s">
        <v>8</v>
      </c>
      <c r="H54" s="19">
        <v>0</v>
      </c>
      <c r="I54" s="19">
        <v>0</v>
      </c>
      <c r="O54" t="s">
        <v>146</v>
      </c>
      <c r="P54" s="19">
        <v>0.4</v>
      </c>
      <c r="T54" s="21">
        <f>MEDIAN(P54,Q58,R58)</f>
        <v>0.17</v>
      </c>
      <c r="V54" t="s">
        <v>146</v>
      </c>
      <c r="W54" s="19">
        <v>0.4</v>
      </c>
    </row>
    <row r="55" spans="1:26" x14ac:dyDescent="0.25">
      <c r="B55" t="s">
        <v>2</v>
      </c>
      <c r="C55" s="19">
        <v>0.02</v>
      </c>
      <c r="D55" s="19">
        <v>0.01</v>
      </c>
      <c r="G55" t="s">
        <v>2</v>
      </c>
      <c r="H55" s="19">
        <v>0.26</v>
      </c>
      <c r="I55" s="19">
        <v>0.14000000000000001</v>
      </c>
      <c r="O55" t="s">
        <v>173</v>
      </c>
      <c r="P55" s="19">
        <v>0.5</v>
      </c>
      <c r="T55" s="21">
        <f>MEDIAN(P55,Q59,R59)</f>
        <v>0.33</v>
      </c>
      <c r="V55" t="s">
        <v>173</v>
      </c>
      <c r="W55" s="19">
        <v>0.5</v>
      </c>
    </row>
    <row r="56" spans="1:26" x14ac:dyDescent="0.25">
      <c r="B56" t="s">
        <v>164</v>
      </c>
      <c r="C56" s="19">
        <v>0</v>
      </c>
      <c r="D56" s="19">
        <v>0</v>
      </c>
      <c r="G56" t="s">
        <v>164</v>
      </c>
      <c r="H56" s="19">
        <v>0</v>
      </c>
      <c r="I56" s="19">
        <v>0</v>
      </c>
      <c r="O56" t="s">
        <v>8</v>
      </c>
      <c r="P56" s="19">
        <v>0</v>
      </c>
      <c r="Q56" s="19">
        <v>0.02</v>
      </c>
      <c r="R56" s="19">
        <v>0.60499999999999998</v>
      </c>
      <c r="S56" s="19"/>
      <c r="T56" s="21">
        <f>MEDIAN(P56:R56)</f>
        <v>0.02</v>
      </c>
      <c r="V56" t="s">
        <v>8</v>
      </c>
      <c r="W56" s="19">
        <v>0</v>
      </c>
      <c r="X56" s="19">
        <v>0.02</v>
      </c>
      <c r="Y56" s="19">
        <v>0.60499999999999998</v>
      </c>
      <c r="Z56" s="19">
        <v>5.0000000000000001E-3</v>
      </c>
    </row>
    <row r="57" spans="1:26" x14ac:dyDescent="0.25">
      <c r="B57" t="s">
        <v>5</v>
      </c>
      <c r="C57" s="19">
        <v>0.73</v>
      </c>
      <c r="D57" s="19">
        <v>0.45</v>
      </c>
      <c r="G57" t="s">
        <v>5</v>
      </c>
      <c r="H57" s="19">
        <v>0.4</v>
      </c>
      <c r="I57" s="19">
        <v>0.23</v>
      </c>
      <c r="O57" t="s">
        <v>152</v>
      </c>
      <c r="Q57" s="19">
        <v>0.1</v>
      </c>
      <c r="R57" s="19">
        <v>0.04</v>
      </c>
      <c r="S57" s="19"/>
      <c r="T57" s="21"/>
      <c r="V57" t="s">
        <v>152</v>
      </c>
      <c r="X57" s="19">
        <v>0.1</v>
      </c>
      <c r="Y57" s="19">
        <v>0.04</v>
      </c>
      <c r="Z57" s="19">
        <v>0.03</v>
      </c>
    </row>
    <row r="58" spans="1:26" x14ac:dyDescent="0.25">
      <c r="B58" t="s">
        <v>137</v>
      </c>
      <c r="C58" s="19">
        <v>0.15</v>
      </c>
      <c r="D58" s="19">
        <v>0.13</v>
      </c>
      <c r="G58" t="s">
        <v>137</v>
      </c>
      <c r="H58" s="19">
        <v>0.32</v>
      </c>
      <c r="I58" s="19">
        <v>0.25</v>
      </c>
      <c r="O58" t="s">
        <v>153</v>
      </c>
      <c r="Q58" s="19">
        <v>0.17</v>
      </c>
      <c r="R58" s="19">
        <v>7.0000000000000007E-2</v>
      </c>
      <c r="S58" s="19"/>
      <c r="T58" s="21"/>
      <c r="V58" t="s">
        <v>153</v>
      </c>
      <c r="X58" s="19">
        <v>0.17</v>
      </c>
      <c r="Y58" s="19">
        <v>7.0000000000000007E-2</v>
      </c>
      <c r="Z58" s="19">
        <v>7.0000000000000007E-2</v>
      </c>
    </row>
    <row r="59" spans="1:26" x14ac:dyDescent="0.25">
      <c r="B59" t="s">
        <v>168</v>
      </c>
      <c r="C59" s="19">
        <v>0</v>
      </c>
      <c r="D59" s="19">
        <v>0.39</v>
      </c>
      <c r="G59" t="s">
        <v>168</v>
      </c>
      <c r="H59" s="19">
        <v>0</v>
      </c>
      <c r="I59" s="19">
        <v>0.37</v>
      </c>
      <c r="O59" t="s">
        <v>154</v>
      </c>
      <c r="Q59" s="19">
        <v>0.33</v>
      </c>
      <c r="R59" s="19">
        <v>0.13</v>
      </c>
      <c r="S59" s="19"/>
      <c r="T59" s="21"/>
      <c r="V59" t="s">
        <v>154</v>
      </c>
      <c r="X59" s="19">
        <v>0.33</v>
      </c>
      <c r="Y59" s="19">
        <v>0.13</v>
      </c>
      <c r="Z59" s="19">
        <v>0.13</v>
      </c>
    </row>
    <row r="60" spans="1:26" x14ac:dyDescent="0.25">
      <c r="O60" t="s">
        <v>156</v>
      </c>
      <c r="S60" s="19"/>
      <c r="V60" t="s">
        <v>156</v>
      </c>
      <c r="Z60" s="19">
        <v>0.31</v>
      </c>
    </row>
    <row r="61" spans="1:26" x14ac:dyDescent="0.25">
      <c r="B61" s="1" t="s">
        <v>10</v>
      </c>
      <c r="C61" s="21">
        <f>SUM(C53:C59)</f>
        <v>1</v>
      </c>
      <c r="D61" s="21">
        <f>SUM(D53:D59)</f>
        <v>1</v>
      </c>
      <c r="G61" s="1" t="s">
        <v>10</v>
      </c>
      <c r="H61" s="21">
        <f>SUM(H53:H59)</f>
        <v>1</v>
      </c>
      <c r="I61" s="21">
        <f>SUM(I53:I59)</f>
        <v>1</v>
      </c>
      <c r="O61" t="s">
        <v>157</v>
      </c>
      <c r="S61" s="19"/>
      <c r="T61" s="21">
        <f>SUM(T50:T59)</f>
        <v>0.74500000000000011</v>
      </c>
      <c r="V61" t="s">
        <v>157</v>
      </c>
      <c r="Z61" s="19">
        <v>0.3</v>
      </c>
    </row>
    <row r="62" spans="1:26" x14ac:dyDescent="0.25">
      <c r="U62" s="19"/>
    </row>
    <row r="63" spans="1:26" x14ac:dyDescent="0.25">
      <c r="U63" s="19"/>
    </row>
    <row r="64" spans="1:26" x14ac:dyDescent="0.25">
      <c r="R64" s="1"/>
      <c r="U64" s="19"/>
    </row>
    <row r="65" spans="1:21" x14ac:dyDescent="0.25">
      <c r="A65" s="1" t="s">
        <v>172</v>
      </c>
      <c r="U65" s="19"/>
    </row>
    <row r="68" spans="1:21" x14ac:dyDescent="0.25">
      <c r="B68" s="1" t="s">
        <v>143</v>
      </c>
      <c r="C68" s="1">
        <v>2020</v>
      </c>
      <c r="D68" s="1">
        <v>2030</v>
      </c>
      <c r="E68" s="1">
        <v>2040</v>
      </c>
      <c r="F68" s="1">
        <v>2050</v>
      </c>
    </row>
    <row r="69" spans="1:21" x14ac:dyDescent="0.25">
      <c r="B69" t="s">
        <v>2</v>
      </c>
      <c r="C69" s="19">
        <v>0.19</v>
      </c>
      <c r="D69" s="19">
        <v>0.1</v>
      </c>
      <c r="E69" s="19">
        <v>0</v>
      </c>
      <c r="F69" s="19">
        <v>0</v>
      </c>
    </row>
    <row r="70" spans="1:21" x14ac:dyDescent="0.25">
      <c r="B70" t="s">
        <v>144</v>
      </c>
      <c r="C70" s="19">
        <v>0.24</v>
      </c>
      <c r="D70" s="19">
        <v>0.08</v>
      </c>
      <c r="E70" s="19">
        <v>0</v>
      </c>
      <c r="F70" s="19">
        <v>0</v>
      </c>
    </row>
    <row r="71" spans="1:21" x14ac:dyDescent="0.25">
      <c r="B71" t="s">
        <v>151</v>
      </c>
      <c r="C71" s="19">
        <v>0</v>
      </c>
      <c r="D71" s="19">
        <v>0</v>
      </c>
      <c r="E71" s="19">
        <v>0</v>
      </c>
      <c r="F71" s="19">
        <v>0</v>
      </c>
    </row>
    <row r="72" spans="1:21" x14ac:dyDescent="0.25">
      <c r="B72" t="s">
        <v>5</v>
      </c>
      <c r="C72" s="19">
        <v>0.44</v>
      </c>
      <c r="D72" s="19">
        <v>0.35</v>
      </c>
      <c r="E72" s="19">
        <v>0.24</v>
      </c>
      <c r="F72" s="19">
        <v>0.1</v>
      </c>
    </row>
    <row r="73" spans="1:21" x14ac:dyDescent="0.25">
      <c r="B73" t="s">
        <v>146</v>
      </c>
      <c r="C73" s="19">
        <v>0.11</v>
      </c>
      <c r="D73" s="19">
        <v>0.26</v>
      </c>
      <c r="E73" s="19">
        <v>0.36</v>
      </c>
      <c r="F73" s="19">
        <v>0.4</v>
      </c>
    </row>
    <row r="74" spans="1:21" x14ac:dyDescent="0.25">
      <c r="B74" t="s">
        <v>173</v>
      </c>
      <c r="C74" s="19">
        <v>0</v>
      </c>
      <c r="D74" s="19">
        <v>0.21</v>
      </c>
      <c r="E74" s="19">
        <v>0.4</v>
      </c>
      <c r="F74" s="19">
        <v>0.5</v>
      </c>
    </row>
    <row r="75" spans="1:21" x14ac:dyDescent="0.25">
      <c r="B75" t="s">
        <v>8</v>
      </c>
      <c r="C75" s="19">
        <v>0.02</v>
      </c>
      <c r="D75" s="19">
        <v>0</v>
      </c>
      <c r="E75" s="19">
        <v>0</v>
      </c>
      <c r="F75" s="19">
        <v>0</v>
      </c>
    </row>
    <row r="77" spans="1:21" x14ac:dyDescent="0.25">
      <c r="B77" s="1" t="s">
        <v>10</v>
      </c>
      <c r="C77" s="64">
        <f>SUM(C69:C75)</f>
        <v>1</v>
      </c>
      <c r="D77" s="64">
        <f>SUM(D69:D75)</f>
        <v>1</v>
      </c>
      <c r="E77" s="64">
        <f>SUM(E69:E75)</f>
        <v>1</v>
      </c>
      <c r="F77" s="64">
        <f>SUM(F69:F75)</f>
        <v>1</v>
      </c>
    </row>
    <row r="80" spans="1:21" x14ac:dyDescent="0.25">
      <c r="B80" s="1" t="s">
        <v>150</v>
      </c>
    </row>
    <row r="82" spans="1:22" x14ac:dyDescent="0.25">
      <c r="A82" s="1" t="s">
        <v>143</v>
      </c>
      <c r="C82" s="1">
        <v>2020</v>
      </c>
      <c r="D82" s="1">
        <v>2030</v>
      </c>
      <c r="E82" s="1">
        <v>2040</v>
      </c>
      <c r="F82" s="1">
        <v>2050</v>
      </c>
      <c r="I82" s="1" t="s">
        <v>147</v>
      </c>
      <c r="K82" s="1">
        <v>2020</v>
      </c>
      <c r="L82" s="1">
        <v>2030</v>
      </c>
      <c r="M82" s="1">
        <v>2040</v>
      </c>
      <c r="N82" s="1">
        <v>2050</v>
      </c>
      <c r="Q82" s="1" t="s">
        <v>155</v>
      </c>
      <c r="S82" s="1">
        <v>2020</v>
      </c>
      <c r="T82" s="1">
        <v>2030</v>
      </c>
      <c r="U82" s="1">
        <v>2040</v>
      </c>
      <c r="V82" s="1">
        <v>2050</v>
      </c>
    </row>
    <row r="83" spans="1:22" x14ac:dyDescent="0.25">
      <c r="B83" t="s">
        <v>2</v>
      </c>
      <c r="C83" s="19">
        <v>0.375</v>
      </c>
      <c r="D83" s="19">
        <v>0.38</v>
      </c>
      <c r="E83" s="19">
        <v>0.32</v>
      </c>
      <c r="F83" s="19">
        <v>0.255</v>
      </c>
      <c r="J83" t="s">
        <v>2</v>
      </c>
      <c r="K83" s="19">
        <v>0.375</v>
      </c>
      <c r="L83" s="19">
        <v>0.15</v>
      </c>
      <c r="M83" s="19">
        <v>0.125</v>
      </c>
      <c r="N83" s="19">
        <v>0.1</v>
      </c>
      <c r="R83" t="s">
        <v>2</v>
      </c>
      <c r="S83" s="19">
        <v>0.375</v>
      </c>
      <c r="T83" s="20">
        <v>0.39</v>
      </c>
      <c r="U83" s="19">
        <v>0.12</v>
      </c>
      <c r="V83" s="19">
        <v>9.5000000000000001E-2</v>
      </c>
    </row>
    <row r="84" spans="1:22" x14ac:dyDescent="0.25">
      <c r="B84" t="s">
        <v>144</v>
      </c>
      <c r="C84" s="19">
        <v>0.04</v>
      </c>
      <c r="D84" s="19">
        <v>0.02</v>
      </c>
      <c r="E84" s="19">
        <v>1.4999999999999999E-2</v>
      </c>
      <c r="F84" s="19">
        <v>1.4999999999999999E-2</v>
      </c>
      <c r="J84" t="s">
        <v>144</v>
      </c>
      <c r="K84" s="19">
        <v>0.04</v>
      </c>
      <c r="L84" s="19">
        <v>0.01</v>
      </c>
      <c r="M84" s="19">
        <v>0.01</v>
      </c>
      <c r="N84" s="19">
        <v>5.0000000000000001E-3</v>
      </c>
      <c r="R84" t="s">
        <v>144</v>
      </c>
      <c r="S84" s="19">
        <v>0.04</v>
      </c>
      <c r="T84" s="20">
        <v>0.03</v>
      </c>
      <c r="U84" s="19">
        <v>0.01</v>
      </c>
      <c r="V84" s="19">
        <v>0.01</v>
      </c>
    </row>
    <row r="85" spans="1:22" x14ac:dyDescent="0.25">
      <c r="B85" t="s">
        <v>151</v>
      </c>
      <c r="C85" s="19">
        <v>0.11</v>
      </c>
      <c r="D85" s="19">
        <v>3.5000000000000003E-2</v>
      </c>
      <c r="E85" s="19">
        <v>0.03</v>
      </c>
      <c r="F85" s="19">
        <v>0.02</v>
      </c>
      <c r="J85" t="s">
        <v>151</v>
      </c>
      <c r="K85" s="19">
        <v>0.11</v>
      </c>
      <c r="L85" s="19">
        <v>0.02</v>
      </c>
      <c r="M85" s="19">
        <v>0.01</v>
      </c>
      <c r="N85" s="19">
        <v>0.01</v>
      </c>
      <c r="R85" t="s">
        <v>151</v>
      </c>
      <c r="S85" s="19">
        <v>0.11</v>
      </c>
      <c r="T85" s="20">
        <v>0.03</v>
      </c>
      <c r="U85" s="19">
        <v>0.01</v>
      </c>
      <c r="V85" s="19">
        <v>0.01</v>
      </c>
    </row>
    <row r="86" spans="1:22" x14ac:dyDescent="0.25">
      <c r="B86" t="s">
        <v>5</v>
      </c>
      <c r="C86" s="19">
        <v>0.06</v>
      </c>
      <c r="D86" s="19">
        <v>0.14000000000000001</v>
      </c>
      <c r="E86" s="19">
        <v>0.12</v>
      </c>
      <c r="F86" s="19">
        <v>0.09</v>
      </c>
      <c r="J86" t="s">
        <v>5</v>
      </c>
      <c r="K86" s="19">
        <v>0.06</v>
      </c>
      <c r="L86" s="19">
        <v>0.05</v>
      </c>
      <c r="M86" s="19">
        <v>0.05</v>
      </c>
      <c r="N86" s="19">
        <v>0.04</v>
      </c>
      <c r="R86" t="s">
        <v>5</v>
      </c>
      <c r="S86" s="19">
        <v>0.06</v>
      </c>
      <c r="T86" s="20">
        <v>0.14000000000000001</v>
      </c>
      <c r="U86" s="19">
        <v>0.05</v>
      </c>
      <c r="V86" s="19">
        <v>0.04</v>
      </c>
    </row>
    <row r="87" spans="1:22" x14ac:dyDescent="0.25">
      <c r="B87" t="s">
        <v>152</v>
      </c>
      <c r="C87" s="19">
        <v>0.06</v>
      </c>
      <c r="D87" s="19">
        <v>0.14000000000000001</v>
      </c>
      <c r="E87" s="19">
        <v>0.11</v>
      </c>
      <c r="F87" s="19">
        <v>0.1</v>
      </c>
      <c r="J87" t="s">
        <v>152</v>
      </c>
      <c r="K87" s="19">
        <v>0.06</v>
      </c>
      <c r="L87" s="19">
        <v>0.06</v>
      </c>
      <c r="M87" s="19">
        <v>0.05</v>
      </c>
      <c r="N87" s="19">
        <v>0.04</v>
      </c>
      <c r="R87" t="s">
        <v>152</v>
      </c>
      <c r="S87" s="19">
        <v>0.06</v>
      </c>
      <c r="T87" s="20">
        <v>0.14000000000000001</v>
      </c>
      <c r="U87" s="19">
        <v>0.04</v>
      </c>
      <c r="V87" s="19">
        <v>0.03</v>
      </c>
    </row>
    <row r="88" spans="1:22" x14ac:dyDescent="0.25">
      <c r="B88" t="s">
        <v>153</v>
      </c>
      <c r="C88" s="19">
        <v>0.03</v>
      </c>
      <c r="D88" s="19">
        <v>0.25</v>
      </c>
      <c r="E88" s="19">
        <v>0.21</v>
      </c>
      <c r="F88" s="19">
        <v>0.17</v>
      </c>
      <c r="J88" t="s">
        <v>153</v>
      </c>
      <c r="K88" s="19">
        <v>0.03</v>
      </c>
      <c r="L88" s="19">
        <v>0.1</v>
      </c>
      <c r="M88" s="19">
        <v>0.08</v>
      </c>
      <c r="N88" s="19">
        <v>7.0000000000000007E-2</v>
      </c>
      <c r="R88" t="s">
        <v>153</v>
      </c>
      <c r="S88" s="19">
        <v>0.03</v>
      </c>
      <c r="T88" s="20">
        <v>0.24</v>
      </c>
      <c r="U88" s="19">
        <v>0.08</v>
      </c>
      <c r="V88" s="19">
        <v>7.0000000000000007E-2</v>
      </c>
    </row>
    <row r="89" spans="1:22" x14ac:dyDescent="0.25">
      <c r="B89" t="s">
        <v>154</v>
      </c>
      <c r="C89" s="19">
        <v>0</v>
      </c>
      <c r="D89" s="19">
        <v>0.01</v>
      </c>
      <c r="E89" s="19">
        <v>0.17</v>
      </c>
      <c r="F89" s="19">
        <v>0.33</v>
      </c>
      <c r="J89" t="s">
        <v>154</v>
      </c>
      <c r="K89" s="19">
        <v>0</v>
      </c>
      <c r="L89" s="19">
        <v>0</v>
      </c>
      <c r="M89" s="19">
        <v>7.0000000000000007E-2</v>
      </c>
      <c r="N89" s="19">
        <v>0.13</v>
      </c>
      <c r="R89" t="s">
        <v>154</v>
      </c>
      <c r="S89" s="19">
        <v>0</v>
      </c>
      <c r="T89" s="20">
        <v>0</v>
      </c>
      <c r="U89" s="19">
        <v>7.0000000000000007E-2</v>
      </c>
      <c r="V89" s="19">
        <v>0.13</v>
      </c>
    </row>
    <row r="90" spans="1:22" x14ac:dyDescent="0.25">
      <c r="B90" t="s">
        <v>8</v>
      </c>
      <c r="C90" s="19">
        <v>0.32500000000000001</v>
      </c>
      <c r="D90" s="19">
        <v>2.5000000000000001E-2</v>
      </c>
      <c r="E90" s="19">
        <v>2.5000000000000001E-2</v>
      </c>
      <c r="F90" s="19">
        <v>0.02</v>
      </c>
      <c r="J90" t="s">
        <v>8</v>
      </c>
      <c r="K90" s="19">
        <v>0.32500000000000001</v>
      </c>
      <c r="L90" s="19">
        <v>0.61</v>
      </c>
      <c r="M90" s="19">
        <v>0.60499999999999998</v>
      </c>
      <c r="N90" s="19">
        <v>0.60499999999999998</v>
      </c>
      <c r="R90" t="s">
        <v>8</v>
      </c>
      <c r="S90" s="19">
        <v>0.32500000000000001</v>
      </c>
      <c r="T90" s="20">
        <v>0.03</v>
      </c>
      <c r="U90" s="19">
        <v>0.01</v>
      </c>
      <c r="V90" s="19">
        <v>5.0000000000000001E-3</v>
      </c>
    </row>
    <row r="91" spans="1:22" x14ac:dyDescent="0.25">
      <c r="R91" t="s">
        <v>156</v>
      </c>
      <c r="S91" s="19">
        <v>0</v>
      </c>
      <c r="T91" s="20">
        <v>0</v>
      </c>
      <c r="U91" s="19">
        <v>0.31</v>
      </c>
      <c r="V91" s="19">
        <v>0.31</v>
      </c>
    </row>
    <row r="92" spans="1:22" x14ac:dyDescent="0.25">
      <c r="B92" s="1" t="s">
        <v>10</v>
      </c>
      <c r="C92" s="64">
        <f>SUM(C83:C90)</f>
        <v>1</v>
      </c>
      <c r="D92" s="64">
        <f>SUM(D83:D90)</f>
        <v>1</v>
      </c>
      <c r="E92" s="64">
        <f>SUM(E83:E90)</f>
        <v>1</v>
      </c>
      <c r="F92" s="64">
        <f>SUM(F83:F90)</f>
        <v>1</v>
      </c>
      <c r="J92" s="1" t="s">
        <v>10</v>
      </c>
      <c r="K92" s="64">
        <f>SUM(K83:K90)</f>
        <v>1</v>
      </c>
      <c r="L92" s="64">
        <f>SUM(L83:L90)</f>
        <v>1</v>
      </c>
      <c r="M92" s="64">
        <f>SUM(M83:M90)</f>
        <v>1</v>
      </c>
      <c r="N92" s="64">
        <f>SUM(N83:N90)</f>
        <v>1</v>
      </c>
      <c r="R92" t="s">
        <v>157</v>
      </c>
      <c r="S92" s="19">
        <v>0</v>
      </c>
      <c r="T92" s="20">
        <v>0</v>
      </c>
      <c r="U92" s="19">
        <v>0.3</v>
      </c>
      <c r="V92" s="19">
        <v>0.3</v>
      </c>
    </row>
    <row r="94" spans="1:22" x14ac:dyDescent="0.25">
      <c r="R94" s="1" t="s">
        <v>10</v>
      </c>
      <c r="S94" s="64">
        <f>SUM(S83:S92)</f>
        <v>1</v>
      </c>
      <c r="T94" s="64">
        <f>SUM(T83:T92)</f>
        <v>1</v>
      </c>
      <c r="U94" s="64">
        <f>SUM(U83:U92)</f>
        <v>1</v>
      </c>
      <c r="V94" s="64">
        <f>SUM(V83:V92)</f>
        <v>1</v>
      </c>
    </row>
  </sheetData>
  <mergeCells count="6">
    <mergeCell ref="O2:U2"/>
    <mergeCell ref="O17:X17"/>
    <mergeCell ref="O32:S32"/>
    <mergeCell ref="O48:S48"/>
    <mergeCell ref="V32:Z32"/>
    <mergeCell ref="V48:Z4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V83"/>
  <sheetViews>
    <sheetView tabSelected="1" topLeftCell="E35" zoomScale="70" zoomScaleNormal="70" workbookViewId="0">
      <selection activeCell="M63" sqref="M63"/>
    </sheetView>
  </sheetViews>
  <sheetFormatPr defaultRowHeight="15" x14ac:dyDescent="0.25"/>
  <sheetData>
    <row r="4" spans="2:13" x14ac:dyDescent="0.25">
      <c r="B4" s="1" t="s">
        <v>11</v>
      </c>
      <c r="C4" s="1" t="s">
        <v>12</v>
      </c>
      <c r="D4" s="1" t="s">
        <v>13</v>
      </c>
      <c r="E4" s="1" t="s">
        <v>14</v>
      </c>
      <c r="F4" s="5">
        <v>0.25</v>
      </c>
      <c r="G4" s="5">
        <v>0.5</v>
      </c>
      <c r="H4" s="5">
        <v>0.75</v>
      </c>
      <c r="I4" s="1" t="s">
        <v>15</v>
      </c>
      <c r="J4" s="1" t="s">
        <v>16</v>
      </c>
      <c r="M4" s="1" t="s">
        <v>17</v>
      </c>
    </row>
    <row r="5" spans="2:13" x14ac:dyDescent="0.25">
      <c r="B5" t="s">
        <v>18</v>
      </c>
      <c r="C5">
        <v>24.9</v>
      </c>
      <c r="D5">
        <v>9.452</v>
      </c>
      <c r="E5">
        <v>17.600000000000001</v>
      </c>
      <c r="F5">
        <v>17.600000000000001</v>
      </c>
      <c r="G5">
        <v>20.3</v>
      </c>
      <c r="H5">
        <v>33.35</v>
      </c>
      <c r="I5">
        <v>36.799999999999997</v>
      </c>
      <c r="J5">
        <f>D5^2</f>
        <v>89.340304000000003</v>
      </c>
      <c r="M5">
        <v>6</v>
      </c>
    </row>
    <row r="6" spans="2:13" x14ac:dyDescent="0.25">
      <c r="B6" t="s">
        <v>19</v>
      </c>
      <c r="C6">
        <v>44.674999999999997</v>
      </c>
      <c r="D6">
        <v>7.97</v>
      </c>
      <c r="E6">
        <v>32.6</v>
      </c>
      <c r="F6">
        <v>40.734999999999999</v>
      </c>
      <c r="G6">
        <v>42.2</v>
      </c>
      <c r="H6">
        <v>51.174999999999997</v>
      </c>
      <c r="I6">
        <v>54.7</v>
      </c>
      <c r="J6">
        <f>D6^2</f>
        <v>63.520899999999997</v>
      </c>
      <c r="M6">
        <v>12</v>
      </c>
    </row>
    <row r="7" spans="2:13" x14ac:dyDescent="0.25">
      <c r="B7" t="s">
        <v>20</v>
      </c>
      <c r="C7">
        <v>55.563400000000001</v>
      </c>
      <c r="D7">
        <v>17.047999999999998</v>
      </c>
      <c r="E7">
        <v>35</v>
      </c>
      <c r="F7">
        <v>40.200000000000003</v>
      </c>
      <c r="G7">
        <v>62</v>
      </c>
      <c r="H7">
        <v>62</v>
      </c>
      <c r="I7">
        <v>82</v>
      </c>
      <c r="J7">
        <f>D7^2</f>
        <v>290.63430399999993</v>
      </c>
      <c r="M7">
        <v>11</v>
      </c>
    </row>
    <row r="8" spans="2:13" x14ac:dyDescent="0.25">
      <c r="B8" t="s">
        <v>21</v>
      </c>
      <c r="C8">
        <v>71</v>
      </c>
      <c r="D8">
        <v>11.936999999999999</v>
      </c>
      <c r="E8">
        <v>50</v>
      </c>
      <c r="F8">
        <v>75</v>
      </c>
      <c r="G8">
        <v>75</v>
      </c>
      <c r="H8">
        <v>75</v>
      </c>
      <c r="I8">
        <v>80</v>
      </c>
      <c r="J8">
        <f>D8^2</f>
        <v>142.49196899999998</v>
      </c>
      <c r="M8">
        <v>5</v>
      </c>
    </row>
    <row r="9" spans="2:13" x14ac:dyDescent="0.25">
      <c r="B9" t="s">
        <v>22</v>
      </c>
      <c r="C9">
        <v>75</v>
      </c>
    </row>
    <row r="10" spans="2:13" x14ac:dyDescent="0.25">
      <c r="B10" t="s">
        <v>23</v>
      </c>
      <c r="C10">
        <v>91.92</v>
      </c>
      <c r="D10">
        <v>14.01</v>
      </c>
      <c r="E10">
        <v>60</v>
      </c>
      <c r="F10">
        <v>93.4</v>
      </c>
      <c r="G10">
        <v>98.35</v>
      </c>
      <c r="H10">
        <v>98.35</v>
      </c>
      <c r="I10">
        <v>113</v>
      </c>
      <c r="J10">
        <f t="shared" ref="J10:J15" si="0">D10^2</f>
        <v>196.2801</v>
      </c>
      <c r="M10">
        <v>10</v>
      </c>
    </row>
    <row r="11" spans="2:13" x14ac:dyDescent="0.25">
      <c r="B11" t="s">
        <v>24</v>
      </c>
      <c r="C11">
        <v>53.355600000000003</v>
      </c>
      <c r="D11">
        <v>18.89</v>
      </c>
      <c r="E11">
        <v>42</v>
      </c>
      <c r="F11">
        <v>44.5</v>
      </c>
      <c r="G11">
        <v>67.099999999999994</v>
      </c>
      <c r="H11">
        <v>67.099999999999994</v>
      </c>
      <c r="I11">
        <v>67.5</v>
      </c>
      <c r="J11">
        <f t="shared" si="0"/>
        <v>356.83210000000003</v>
      </c>
      <c r="M11">
        <v>9</v>
      </c>
    </row>
    <row r="12" spans="2:13" x14ac:dyDescent="0.25">
      <c r="B12" t="s">
        <v>25</v>
      </c>
      <c r="C12">
        <v>68.066670000000002</v>
      </c>
      <c r="D12">
        <v>16.323149999999998</v>
      </c>
      <c r="E12">
        <v>35.5</v>
      </c>
      <c r="F12">
        <v>55</v>
      </c>
      <c r="G12">
        <v>82</v>
      </c>
      <c r="H12">
        <v>82</v>
      </c>
      <c r="I12">
        <v>90</v>
      </c>
      <c r="J12">
        <f t="shared" si="0"/>
        <v>266.44522592249996</v>
      </c>
      <c r="M12">
        <v>21</v>
      </c>
    </row>
    <row r="13" spans="2:13" x14ac:dyDescent="0.25">
      <c r="B13" t="s">
        <v>26</v>
      </c>
      <c r="C13">
        <v>82.8</v>
      </c>
      <c r="D13">
        <v>9.119332</v>
      </c>
      <c r="E13">
        <v>75</v>
      </c>
      <c r="F13">
        <v>75.7</v>
      </c>
      <c r="G13">
        <v>84.25</v>
      </c>
      <c r="H13">
        <v>84.25</v>
      </c>
      <c r="I13">
        <v>98.8</v>
      </c>
      <c r="J13">
        <f t="shared" si="0"/>
        <v>83.162216126223996</v>
      </c>
      <c r="M13">
        <v>10</v>
      </c>
    </row>
    <row r="14" spans="2:13" x14ac:dyDescent="0.25">
      <c r="B14" t="s">
        <v>27</v>
      </c>
      <c r="C14">
        <v>90.181820000000002</v>
      </c>
      <c r="D14">
        <v>11.711690000000001</v>
      </c>
      <c r="E14">
        <v>71</v>
      </c>
      <c r="F14">
        <v>85</v>
      </c>
      <c r="G14">
        <v>95</v>
      </c>
      <c r="H14">
        <v>95</v>
      </c>
      <c r="I14">
        <v>105</v>
      </c>
      <c r="J14">
        <f t="shared" si="0"/>
        <v>137.16368265610001</v>
      </c>
      <c r="M14">
        <v>11</v>
      </c>
    </row>
    <row r="15" spans="2:13" x14ac:dyDescent="0.25">
      <c r="B15" t="s">
        <v>28</v>
      </c>
      <c r="C15">
        <v>100</v>
      </c>
      <c r="D15">
        <v>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f t="shared" si="0"/>
        <v>0</v>
      </c>
      <c r="M15">
        <v>2</v>
      </c>
    </row>
    <row r="21" spans="2:16" x14ac:dyDescent="0.25">
      <c r="B21" s="1" t="s">
        <v>11</v>
      </c>
      <c r="C21" s="1" t="s">
        <v>12</v>
      </c>
    </row>
    <row r="22" spans="2:16" x14ac:dyDescent="0.25">
      <c r="B22" t="s">
        <v>18</v>
      </c>
      <c r="C22">
        <v>5</v>
      </c>
    </row>
    <row r="23" spans="2:16" x14ac:dyDescent="0.25">
      <c r="B23" t="s">
        <v>19</v>
      </c>
      <c r="C23">
        <v>10</v>
      </c>
    </row>
    <row r="24" spans="2:16" x14ac:dyDescent="0.25">
      <c r="B24" t="s">
        <v>20</v>
      </c>
      <c r="C24">
        <v>15</v>
      </c>
      <c r="P24" s="1" t="s">
        <v>138</v>
      </c>
    </row>
    <row r="25" spans="2:16" x14ac:dyDescent="0.25">
      <c r="B25" t="s">
        <v>21</v>
      </c>
      <c r="C25">
        <v>15</v>
      </c>
    </row>
    <row r="26" spans="2:16" x14ac:dyDescent="0.25">
      <c r="B26" t="s">
        <v>22</v>
      </c>
      <c r="C26">
        <v>15</v>
      </c>
    </row>
    <row r="27" spans="2:16" x14ac:dyDescent="0.25">
      <c r="B27" t="s">
        <v>23</v>
      </c>
      <c r="C27">
        <v>15</v>
      </c>
    </row>
    <row r="28" spans="2:16" x14ac:dyDescent="0.25">
      <c r="B28" t="s">
        <v>139</v>
      </c>
      <c r="C28">
        <v>15</v>
      </c>
    </row>
    <row r="35" spans="2:6" x14ac:dyDescent="0.25">
      <c r="C35" t="s">
        <v>263</v>
      </c>
      <c r="D35" t="s">
        <v>264</v>
      </c>
    </row>
    <row r="36" spans="2:6" x14ac:dyDescent="0.25">
      <c r="B36" t="s">
        <v>265</v>
      </c>
      <c r="C36">
        <v>2.6</v>
      </c>
      <c r="D36">
        <v>0.79</v>
      </c>
    </row>
    <row r="37" spans="2:6" x14ac:dyDescent="0.25">
      <c r="B37" t="s">
        <v>266</v>
      </c>
      <c r="C37">
        <v>0.93</v>
      </c>
      <c r="D37">
        <v>0.8</v>
      </c>
    </row>
    <row r="38" spans="2:6" x14ac:dyDescent="0.25">
      <c r="B38" t="s">
        <v>267</v>
      </c>
      <c r="C38">
        <v>0.86</v>
      </c>
      <c r="D38">
        <v>0.56999999999999995</v>
      </c>
    </row>
    <row r="39" spans="2:6" x14ac:dyDescent="0.25">
      <c r="B39" t="s">
        <v>268</v>
      </c>
      <c r="C39">
        <v>0.35</v>
      </c>
      <c r="D39">
        <v>0.26</v>
      </c>
    </row>
    <row r="40" spans="2:6" x14ac:dyDescent="0.25">
      <c r="B40" s="1" t="s">
        <v>105</v>
      </c>
      <c r="C40">
        <f>SUM(C36:C39)</f>
        <v>4.74</v>
      </c>
      <c r="D40">
        <f>SUM(D36:D39)</f>
        <v>2.42</v>
      </c>
      <c r="E40">
        <f>SUM(C40:D40)</f>
        <v>7.16</v>
      </c>
    </row>
    <row r="42" spans="2:6" x14ac:dyDescent="0.25">
      <c r="C42">
        <f>C40/E40</f>
        <v>0.66201117318435754</v>
      </c>
    </row>
    <row r="48" spans="2:6" x14ac:dyDescent="0.25">
      <c r="C48" t="s">
        <v>18</v>
      </c>
      <c r="D48" s="19">
        <v>7.2999999999999995E-2</v>
      </c>
      <c r="F48" s="20">
        <f>100*D48/94</f>
        <v>7.7659574468085107E-2</v>
      </c>
    </row>
    <row r="49" spans="3:6" x14ac:dyDescent="0.25">
      <c r="C49" t="s">
        <v>19</v>
      </c>
      <c r="D49" s="19">
        <v>0.18099999999999999</v>
      </c>
      <c r="F49" s="20">
        <f t="shared" ref="F49:F54" si="1">100*D49/94</f>
        <v>0.19255319148936167</v>
      </c>
    </row>
    <row r="50" spans="3:6" x14ac:dyDescent="0.25">
      <c r="C50" t="s">
        <v>20</v>
      </c>
      <c r="D50" s="19">
        <v>0.23430000000000001</v>
      </c>
      <c r="F50" s="20">
        <f t="shared" si="1"/>
        <v>0.24925531914893617</v>
      </c>
    </row>
    <row r="51" spans="3:6" x14ac:dyDescent="0.25">
      <c r="C51" t="s">
        <v>21</v>
      </c>
      <c r="D51" s="19">
        <v>5.9900000000000002E-2</v>
      </c>
      <c r="F51" s="20">
        <f t="shared" si="1"/>
        <v>6.3723404255319152E-2</v>
      </c>
    </row>
    <row r="52" spans="3:6" x14ac:dyDescent="0.25">
      <c r="C52" t="s">
        <v>22</v>
      </c>
      <c r="D52" s="19">
        <v>2.24E-2</v>
      </c>
      <c r="F52" s="20">
        <f t="shared" si="1"/>
        <v>2.3829787234042551E-2</v>
      </c>
    </row>
    <row r="53" spans="3:6" x14ac:dyDescent="0.25">
      <c r="C53" t="s">
        <v>23</v>
      </c>
      <c r="D53" s="19">
        <v>3.0000000000000001E-3</v>
      </c>
      <c r="F53" s="20">
        <f t="shared" si="1"/>
        <v>3.1914893617021275E-3</v>
      </c>
    </row>
    <row r="54" spans="3:6" x14ac:dyDescent="0.25">
      <c r="C54" t="s">
        <v>139</v>
      </c>
      <c r="D54" s="19">
        <v>0.36499999999999999</v>
      </c>
      <c r="F54" s="20">
        <f t="shared" si="1"/>
        <v>0.38829787234042551</v>
      </c>
    </row>
    <row r="55" spans="3:6" x14ac:dyDescent="0.25">
      <c r="D55" s="21"/>
    </row>
    <row r="56" spans="3:6" x14ac:dyDescent="0.25">
      <c r="F56" s="21"/>
    </row>
    <row r="57" spans="3:6" x14ac:dyDescent="0.25">
      <c r="D57" s="21"/>
    </row>
    <row r="70" spans="5:22" x14ac:dyDescent="0.25">
      <c r="F70" s="91" t="s">
        <v>349</v>
      </c>
      <c r="G70" s="91"/>
      <c r="H70" s="91"/>
      <c r="I70" s="91"/>
      <c r="J70" s="91"/>
      <c r="K70" s="91"/>
      <c r="Q70" s="91" t="s">
        <v>350</v>
      </c>
      <c r="R70" s="91"/>
      <c r="S70" s="91"/>
      <c r="T70" s="91"/>
      <c r="U70" s="91"/>
      <c r="V70" s="91"/>
    </row>
    <row r="71" spans="5:22" x14ac:dyDescent="0.25">
      <c r="F71" s="91"/>
      <c r="G71" s="91"/>
      <c r="H71" s="91"/>
      <c r="I71" s="91"/>
      <c r="J71" s="91"/>
      <c r="K71" s="91"/>
      <c r="Q71" s="91"/>
      <c r="R71" s="91"/>
      <c r="S71" s="91"/>
      <c r="T71" s="91"/>
      <c r="U71" s="91"/>
      <c r="V71" s="91"/>
    </row>
    <row r="72" spans="5:22" x14ac:dyDescent="0.25">
      <c r="F72">
        <v>2015</v>
      </c>
      <c r="G72">
        <v>2016</v>
      </c>
      <c r="H72">
        <v>2017</v>
      </c>
      <c r="I72">
        <v>2018</v>
      </c>
      <c r="J72">
        <v>2019</v>
      </c>
      <c r="K72">
        <v>2020</v>
      </c>
      <c r="Q72" s="99">
        <v>2015</v>
      </c>
      <c r="R72" s="99">
        <v>2016</v>
      </c>
      <c r="S72" s="99">
        <v>2017</v>
      </c>
      <c r="T72" s="99">
        <v>2018</v>
      </c>
      <c r="U72" s="99">
        <v>2019</v>
      </c>
      <c r="V72" s="99">
        <v>2020</v>
      </c>
    </row>
    <row r="73" spans="5:22" x14ac:dyDescent="0.25">
      <c r="E73" t="s">
        <v>18</v>
      </c>
      <c r="F73" s="3">
        <v>0.08</v>
      </c>
      <c r="G73" s="3">
        <v>0.08</v>
      </c>
      <c r="H73" s="3">
        <v>7.6999999999999999E-2</v>
      </c>
      <c r="I73" s="3">
        <v>7.4999999999999997E-2</v>
      </c>
      <c r="J73" s="3">
        <v>7.0000000000000007E-2</v>
      </c>
      <c r="K73" s="20">
        <v>7.7659574468085107E-2</v>
      </c>
      <c r="P73" t="s">
        <v>18</v>
      </c>
      <c r="Q73" s="3">
        <f>100*F73/$F$83</f>
        <v>8.4210526315789472E-2</v>
      </c>
      <c r="R73" s="3">
        <f>100*G73/$G$83</f>
        <v>8.5197018104366348E-2</v>
      </c>
      <c r="S73" s="3">
        <f>100*H73/$H$83</f>
        <v>8.1309398099260827E-2</v>
      </c>
      <c r="T73" s="3">
        <f>100*I73/$I$83</f>
        <v>7.8124999999999986E-2</v>
      </c>
      <c r="U73" s="3">
        <f>100*J73/$J$83</f>
        <v>7.518796992481204E-2</v>
      </c>
      <c r="V73" s="20">
        <v>7.7659574468085107E-2</v>
      </c>
    </row>
    <row r="74" spans="5:22" x14ac:dyDescent="0.25">
      <c r="E74" t="s">
        <v>19</v>
      </c>
      <c r="F74" s="3">
        <v>0.23499999999999999</v>
      </c>
      <c r="G74" s="3">
        <v>0.215</v>
      </c>
      <c r="H74" s="3">
        <v>0.2</v>
      </c>
      <c r="I74" s="3">
        <v>0.19500000000000001</v>
      </c>
      <c r="J74" s="3">
        <v>0.18</v>
      </c>
      <c r="K74" s="20">
        <v>0.19255319148936167</v>
      </c>
      <c r="P74" t="s">
        <v>19</v>
      </c>
      <c r="Q74" s="3">
        <f t="shared" ref="Q74:Q79" si="2">100*F74/$F$83</f>
        <v>0.24736842105263157</v>
      </c>
      <c r="R74" s="3">
        <f t="shared" ref="R74:R79" si="3">100*G74/$G$83</f>
        <v>0.22896698615548458</v>
      </c>
      <c r="S74" s="3">
        <f t="shared" ref="S74:S79" si="4">100*H74/$H$83</f>
        <v>0.21119324181626187</v>
      </c>
      <c r="T74" s="3">
        <f t="shared" ref="T74:T79" si="5">100*I74/$I$83</f>
        <v>0.20312499999999997</v>
      </c>
      <c r="U74" s="3">
        <f t="shared" ref="U74:U79" si="6">100*J74/$J$83</f>
        <v>0.1933404940923738</v>
      </c>
      <c r="V74" s="20">
        <v>0.19255319148936167</v>
      </c>
    </row>
    <row r="75" spans="5:22" x14ac:dyDescent="0.25">
      <c r="E75" t="s">
        <v>20</v>
      </c>
      <c r="F75" s="3">
        <v>0.3</v>
      </c>
      <c r="G75" s="3">
        <v>0.28999999999999998</v>
      </c>
      <c r="H75" s="3">
        <v>0.27</v>
      </c>
      <c r="I75" s="3">
        <v>0.26</v>
      </c>
      <c r="J75" s="3">
        <v>0.23499999999999999</v>
      </c>
      <c r="K75" s="20">
        <v>0.24925531914893617</v>
      </c>
      <c r="P75" t="s">
        <v>20</v>
      </c>
      <c r="Q75" s="3">
        <f t="shared" si="2"/>
        <v>0.31578947368421051</v>
      </c>
      <c r="R75" s="3">
        <f t="shared" si="3"/>
        <v>0.30883919062832799</v>
      </c>
      <c r="S75" s="3">
        <f t="shared" si="4"/>
        <v>0.28511087645195354</v>
      </c>
      <c r="T75" s="3">
        <f t="shared" si="5"/>
        <v>0.27083333333333331</v>
      </c>
      <c r="U75" s="3">
        <f t="shared" si="6"/>
        <v>0.25241675617615467</v>
      </c>
      <c r="V75" s="20">
        <v>0.24925531914893617</v>
      </c>
    </row>
    <row r="76" spans="5:22" x14ac:dyDescent="0.25">
      <c r="E76" t="s">
        <v>21</v>
      </c>
      <c r="F76" s="3">
        <v>0.08</v>
      </c>
      <c r="G76" s="3">
        <v>0.08</v>
      </c>
      <c r="H76" s="3">
        <v>0.08</v>
      </c>
      <c r="I76" s="3">
        <v>7.0000000000000007E-2</v>
      </c>
      <c r="J76" s="3">
        <v>0.06</v>
      </c>
      <c r="K76" s="20">
        <v>6.3723404255319152E-2</v>
      </c>
      <c r="P76" t="s">
        <v>21</v>
      </c>
      <c r="Q76" s="3">
        <f t="shared" si="2"/>
        <v>8.4210526315789472E-2</v>
      </c>
      <c r="R76" s="3">
        <f t="shared" si="3"/>
        <v>8.5197018104366348E-2</v>
      </c>
      <c r="S76" s="3">
        <f t="shared" si="4"/>
        <v>8.4477296726504753E-2</v>
      </c>
      <c r="T76" s="3">
        <f t="shared" si="5"/>
        <v>7.2916666666666671E-2</v>
      </c>
      <c r="U76" s="3">
        <f t="shared" si="6"/>
        <v>6.4446831364124602E-2</v>
      </c>
      <c r="V76" s="20">
        <v>6.3723404255319152E-2</v>
      </c>
    </row>
    <row r="77" spans="5:22" x14ac:dyDescent="0.25">
      <c r="E77" t="s">
        <v>22</v>
      </c>
      <c r="F77" s="3">
        <v>0.03</v>
      </c>
      <c r="G77" s="3">
        <v>0.02</v>
      </c>
      <c r="H77" s="3">
        <v>2.7E-2</v>
      </c>
      <c r="I77" s="3">
        <v>0.03</v>
      </c>
      <c r="J77" s="3">
        <v>2.3E-2</v>
      </c>
      <c r="K77" s="20">
        <v>2.3829787234042551E-2</v>
      </c>
      <c r="P77" t="s">
        <v>22</v>
      </c>
      <c r="Q77" s="3">
        <f t="shared" si="2"/>
        <v>3.1578947368421054E-2</v>
      </c>
      <c r="R77" s="3">
        <f t="shared" si="3"/>
        <v>2.1299254526091587E-2</v>
      </c>
      <c r="S77" s="3">
        <f t="shared" si="4"/>
        <v>2.8511087645195356E-2</v>
      </c>
      <c r="T77" s="3">
        <f t="shared" si="5"/>
        <v>3.1249999999999997E-2</v>
      </c>
      <c r="U77" s="3">
        <f t="shared" si="6"/>
        <v>2.4704618689581095E-2</v>
      </c>
      <c r="V77" s="20">
        <v>2.3829787234042551E-2</v>
      </c>
    </row>
    <row r="78" spans="5:22" x14ac:dyDescent="0.25">
      <c r="E78" t="s">
        <v>23</v>
      </c>
      <c r="F78" s="3">
        <v>5.0000000000000001E-3</v>
      </c>
      <c r="G78" s="3">
        <v>4.0000000000000001E-3</v>
      </c>
      <c r="H78" s="3">
        <v>3.0000000000000001E-3</v>
      </c>
      <c r="I78" s="3">
        <v>0</v>
      </c>
      <c r="J78" s="3">
        <v>3.0000000000000001E-3</v>
      </c>
      <c r="K78" s="20">
        <v>3.1914893617021275E-3</v>
      </c>
      <c r="P78" t="s">
        <v>23</v>
      </c>
      <c r="Q78" s="3">
        <f t="shared" si="2"/>
        <v>5.263157894736842E-3</v>
      </c>
      <c r="R78" s="3">
        <f t="shared" si="3"/>
        <v>4.2598509052183178E-3</v>
      </c>
      <c r="S78" s="3">
        <f t="shared" si="4"/>
        <v>3.167898627243928E-3</v>
      </c>
      <c r="T78" s="3">
        <f t="shared" si="5"/>
        <v>0</v>
      </c>
      <c r="U78" s="3">
        <f t="shared" si="6"/>
        <v>3.22234156820623E-3</v>
      </c>
      <c r="V78" s="20">
        <v>3.1914893617021275E-3</v>
      </c>
    </row>
    <row r="79" spans="5:22" x14ac:dyDescent="0.25">
      <c r="E79" t="s">
        <v>139</v>
      </c>
      <c r="F79" s="3">
        <v>0.22</v>
      </c>
      <c r="G79" s="3">
        <v>0.25</v>
      </c>
      <c r="H79" s="3">
        <v>0.28999999999999998</v>
      </c>
      <c r="I79" s="3">
        <v>0.33</v>
      </c>
      <c r="J79" s="3">
        <v>0.36</v>
      </c>
      <c r="K79" s="20">
        <v>0.38829787234042551</v>
      </c>
      <c r="P79" t="s">
        <v>139</v>
      </c>
      <c r="Q79" s="3">
        <f t="shared" si="2"/>
        <v>0.23157894736842105</v>
      </c>
      <c r="R79" s="3">
        <f t="shared" si="3"/>
        <v>0.26624068157614483</v>
      </c>
      <c r="S79" s="3">
        <f t="shared" si="4"/>
        <v>0.3062302006335797</v>
      </c>
      <c r="T79" s="3">
        <f t="shared" si="5"/>
        <v>0.34374999999999994</v>
      </c>
      <c r="U79" s="3">
        <f t="shared" si="6"/>
        <v>0.38668098818474761</v>
      </c>
      <c r="V79" s="20">
        <v>0.38829787234042551</v>
      </c>
    </row>
    <row r="82" spans="5:22" x14ac:dyDescent="0.25">
      <c r="E82" s="1" t="s">
        <v>105</v>
      </c>
      <c r="F82" s="21">
        <f>SUM(F73:F79)</f>
        <v>0.95</v>
      </c>
      <c r="G82" s="21">
        <f t="shared" ref="G82:K82" si="7">SUM(G73:G79)</f>
        <v>0.93899999999999995</v>
      </c>
      <c r="H82" s="21">
        <f t="shared" si="7"/>
        <v>0.94700000000000006</v>
      </c>
      <c r="I82" s="21">
        <f t="shared" si="7"/>
        <v>0.96000000000000019</v>
      </c>
      <c r="J82" s="21">
        <f t="shared" si="7"/>
        <v>0.93099999999999994</v>
      </c>
      <c r="K82" s="21">
        <f t="shared" si="7"/>
        <v>0.99851063829787234</v>
      </c>
      <c r="P82" s="1" t="s">
        <v>351</v>
      </c>
      <c r="Q82" s="21">
        <f>SUM(Q73:Q79)</f>
        <v>1</v>
      </c>
      <c r="R82" s="21">
        <f t="shared" ref="R82:V82" si="8">SUM(R73:R79)</f>
        <v>1</v>
      </c>
      <c r="S82" s="21">
        <f t="shared" si="8"/>
        <v>1</v>
      </c>
      <c r="T82" s="21">
        <f t="shared" si="8"/>
        <v>0.99999999999999978</v>
      </c>
      <c r="U82" s="21">
        <f t="shared" si="8"/>
        <v>1</v>
      </c>
      <c r="V82" s="21">
        <f t="shared" si="8"/>
        <v>0.99851063829787234</v>
      </c>
    </row>
    <row r="83" spans="5:22" x14ac:dyDescent="0.25">
      <c r="F83" s="53">
        <f>F82*100</f>
        <v>95</v>
      </c>
      <c r="G83" s="53">
        <f t="shared" ref="G83:J83" si="9">G82*100</f>
        <v>93.899999999999991</v>
      </c>
      <c r="H83" s="53">
        <f t="shared" si="9"/>
        <v>94.7</v>
      </c>
      <c r="I83" s="53">
        <f t="shared" si="9"/>
        <v>96.000000000000014</v>
      </c>
      <c r="J83" s="53">
        <f t="shared" si="9"/>
        <v>93.1</v>
      </c>
    </row>
  </sheetData>
  <mergeCells count="2">
    <mergeCell ref="F70:K71"/>
    <mergeCell ref="Q70:V7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W21"/>
  <sheetViews>
    <sheetView zoomScale="61" workbookViewId="0"/>
  </sheetViews>
  <sheetFormatPr defaultRowHeight="15" x14ac:dyDescent="0.25"/>
  <sheetData>
    <row r="2" spans="1:49" x14ac:dyDescent="0.25">
      <c r="A2" s="1" t="s">
        <v>140</v>
      </c>
    </row>
    <row r="3" spans="1:49" x14ac:dyDescent="0.25">
      <c r="C3" s="1" t="s">
        <v>11</v>
      </c>
      <c r="D3">
        <v>2015</v>
      </c>
      <c r="E3">
        <f>D3+1</f>
        <v>2016</v>
      </c>
      <c r="F3">
        <f>E3+1</f>
        <v>2017</v>
      </c>
      <c r="G3">
        <f>F3+1</f>
        <v>2018</v>
      </c>
      <c r="H3">
        <f>G3+1</f>
        <v>2019</v>
      </c>
      <c r="I3">
        <v>2020</v>
      </c>
      <c r="J3">
        <f t="shared" ref="J3:R3" si="0">I3+1</f>
        <v>2021</v>
      </c>
      <c r="K3">
        <f t="shared" si="0"/>
        <v>2022</v>
      </c>
      <c r="L3">
        <f t="shared" si="0"/>
        <v>2023</v>
      </c>
      <c r="M3">
        <f t="shared" si="0"/>
        <v>2024</v>
      </c>
      <c r="N3">
        <f t="shared" si="0"/>
        <v>2025</v>
      </c>
      <c r="O3">
        <f t="shared" si="0"/>
        <v>2026</v>
      </c>
      <c r="P3">
        <f t="shared" si="0"/>
        <v>2027</v>
      </c>
      <c r="Q3">
        <f t="shared" si="0"/>
        <v>2028</v>
      </c>
      <c r="R3">
        <f t="shared" si="0"/>
        <v>2029</v>
      </c>
      <c r="S3">
        <v>2030</v>
      </c>
      <c r="T3">
        <f>S3+1</f>
        <v>2031</v>
      </c>
      <c r="U3">
        <f t="shared" ref="U3:AB3" si="1">T3+1</f>
        <v>2032</v>
      </c>
      <c r="V3">
        <f t="shared" si="1"/>
        <v>2033</v>
      </c>
      <c r="W3">
        <f t="shared" si="1"/>
        <v>2034</v>
      </c>
      <c r="X3">
        <f t="shared" si="1"/>
        <v>2035</v>
      </c>
      <c r="Y3">
        <f t="shared" si="1"/>
        <v>2036</v>
      </c>
      <c r="Z3">
        <f t="shared" si="1"/>
        <v>2037</v>
      </c>
      <c r="AA3">
        <f t="shared" si="1"/>
        <v>2038</v>
      </c>
      <c r="AB3">
        <f t="shared" si="1"/>
        <v>2039</v>
      </c>
      <c r="AC3">
        <v>2040</v>
      </c>
      <c r="AD3">
        <f>AC3+1</f>
        <v>2041</v>
      </c>
      <c r="AE3">
        <f t="shared" ref="AE3:AL3" si="2">AD3+1</f>
        <v>2042</v>
      </c>
      <c r="AF3">
        <f t="shared" si="2"/>
        <v>2043</v>
      </c>
      <c r="AG3">
        <f t="shared" si="2"/>
        <v>2044</v>
      </c>
      <c r="AH3">
        <f t="shared" si="2"/>
        <v>2045</v>
      </c>
      <c r="AI3">
        <f t="shared" si="2"/>
        <v>2046</v>
      </c>
      <c r="AJ3">
        <f t="shared" si="2"/>
        <v>2047</v>
      </c>
      <c r="AK3">
        <f t="shared" si="2"/>
        <v>2048</v>
      </c>
      <c r="AL3">
        <f t="shared" si="2"/>
        <v>2049</v>
      </c>
      <c r="AM3">
        <v>2050</v>
      </c>
      <c r="AN3">
        <f>AM3+1</f>
        <v>2051</v>
      </c>
      <c r="AO3">
        <f t="shared" ref="AO3:AV3" si="3">AN3+1</f>
        <v>2052</v>
      </c>
      <c r="AP3">
        <f t="shared" si="3"/>
        <v>2053</v>
      </c>
      <c r="AQ3">
        <f t="shared" si="3"/>
        <v>2054</v>
      </c>
      <c r="AR3">
        <f t="shared" si="3"/>
        <v>2055</v>
      </c>
      <c r="AS3">
        <f t="shared" si="3"/>
        <v>2056</v>
      </c>
      <c r="AT3">
        <f t="shared" si="3"/>
        <v>2057</v>
      </c>
      <c r="AU3">
        <f t="shared" si="3"/>
        <v>2058</v>
      </c>
      <c r="AV3">
        <f t="shared" si="3"/>
        <v>2059</v>
      </c>
      <c r="AW3">
        <v>2060</v>
      </c>
    </row>
    <row r="4" spans="1:49" x14ac:dyDescent="0.25">
      <c r="C4" t="s">
        <v>18</v>
      </c>
      <c r="D4" s="63">
        <v>24.9</v>
      </c>
      <c r="AM4">
        <v>41</v>
      </c>
      <c r="AN4">
        <f>AM4</f>
        <v>41</v>
      </c>
      <c r="AO4">
        <f t="shared" ref="AO4:AW4" si="4">AN4</f>
        <v>41</v>
      </c>
      <c r="AP4">
        <f t="shared" si="4"/>
        <v>41</v>
      </c>
      <c r="AQ4">
        <f t="shared" si="4"/>
        <v>41</v>
      </c>
      <c r="AR4">
        <f t="shared" si="4"/>
        <v>41</v>
      </c>
      <c r="AS4">
        <f t="shared" si="4"/>
        <v>41</v>
      </c>
      <c r="AT4">
        <f t="shared" si="4"/>
        <v>41</v>
      </c>
      <c r="AU4">
        <f t="shared" si="4"/>
        <v>41</v>
      </c>
      <c r="AV4">
        <f t="shared" si="4"/>
        <v>41</v>
      </c>
      <c r="AW4">
        <f t="shared" si="4"/>
        <v>41</v>
      </c>
    </row>
    <row r="5" spans="1:49" x14ac:dyDescent="0.25">
      <c r="C5" t="s">
        <v>19</v>
      </c>
      <c r="D5" s="63">
        <v>44.674999999999997</v>
      </c>
      <c r="AM5">
        <v>69</v>
      </c>
      <c r="AN5">
        <f t="shared" ref="AN5:AW10" si="5">AM5</f>
        <v>69</v>
      </c>
      <c r="AO5">
        <f t="shared" si="5"/>
        <v>69</v>
      </c>
      <c r="AP5">
        <f t="shared" si="5"/>
        <v>69</v>
      </c>
      <c r="AQ5">
        <f t="shared" si="5"/>
        <v>69</v>
      </c>
      <c r="AR5">
        <f t="shared" si="5"/>
        <v>69</v>
      </c>
      <c r="AS5">
        <f t="shared" si="5"/>
        <v>69</v>
      </c>
      <c r="AT5">
        <f t="shared" si="5"/>
        <v>69</v>
      </c>
      <c r="AU5">
        <f t="shared" si="5"/>
        <v>69</v>
      </c>
      <c r="AV5">
        <f t="shared" si="5"/>
        <v>69</v>
      </c>
      <c r="AW5">
        <f t="shared" si="5"/>
        <v>69</v>
      </c>
    </row>
    <row r="6" spans="1:49" x14ac:dyDescent="0.25">
      <c r="C6" t="s">
        <v>20</v>
      </c>
      <c r="D6" s="63">
        <v>55.563400000000001</v>
      </c>
      <c r="AM6">
        <v>73</v>
      </c>
      <c r="AN6">
        <f t="shared" si="5"/>
        <v>73</v>
      </c>
      <c r="AO6">
        <f t="shared" si="5"/>
        <v>73</v>
      </c>
      <c r="AP6">
        <f t="shared" si="5"/>
        <v>73</v>
      </c>
      <c r="AQ6">
        <f t="shared" si="5"/>
        <v>73</v>
      </c>
      <c r="AR6">
        <f t="shared" si="5"/>
        <v>73</v>
      </c>
      <c r="AS6">
        <f t="shared" si="5"/>
        <v>73</v>
      </c>
      <c r="AT6">
        <f t="shared" si="5"/>
        <v>73</v>
      </c>
      <c r="AU6">
        <f t="shared" si="5"/>
        <v>73</v>
      </c>
      <c r="AV6">
        <f t="shared" si="5"/>
        <v>73</v>
      </c>
      <c r="AW6">
        <f t="shared" si="5"/>
        <v>73</v>
      </c>
    </row>
    <row r="7" spans="1:49" x14ac:dyDescent="0.25">
      <c r="C7" t="s">
        <v>21</v>
      </c>
      <c r="D7" s="63">
        <v>71</v>
      </c>
      <c r="AM7">
        <v>103</v>
      </c>
      <c r="AN7">
        <f t="shared" si="5"/>
        <v>103</v>
      </c>
      <c r="AO7">
        <f t="shared" si="5"/>
        <v>103</v>
      </c>
      <c r="AP7">
        <f t="shared" si="5"/>
        <v>103</v>
      </c>
      <c r="AQ7">
        <f t="shared" si="5"/>
        <v>103</v>
      </c>
      <c r="AR7">
        <f t="shared" si="5"/>
        <v>103</v>
      </c>
      <c r="AS7">
        <f t="shared" si="5"/>
        <v>103</v>
      </c>
      <c r="AT7">
        <f t="shared" si="5"/>
        <v>103</v>
      </c>
      <c r="AU7">
        <f t="shared" si="5"/>
        <v>103</v>
      </c>
      <c r="AV7">
        <f t="shared" si="5"/>
        <v>103</v>
      </c>
      <c r="AW7">
        <f t="shared" si="5"/>
        <v>103</v>
      </c>
    </row>
    <row r="8" spans="1:49" x14ac:dyDescent="0.25">
      <c r="C8" t="s">
        <v>22</v>
      </c>
      <c r="D8" s="63">
        <v>75</v>
      </c>
      <c r="AM8">
        <v>133</v>
      </c>
      <c r="AN8">
        <f t="shared" si="5"/>
        <v>133</v>
      </c>
      <c r="AO8">
        <f t="shared" si="5"/>
        <v>133</v>
      </c>
      <c r="AP8">
        <f t="shared" si="5"/>
        <v>133</v>
      </c>
      <c r="AQ8">
        <f t="shared" si="5"/>
        <v>133</v>
      </c>
      <c r="AR8">
        <f t="shared" si="5"/>
        <v>133</v>
      </c>
      <c r="AS8">
        <f t="shared" si="5"/>
        <v>133</v>
      </c>
      <c r="AT8">
        <f t="shared" si="5"/>
        <v>133</v>
      </c>
      <c r="AU8">
        <f t="shared" si="5"/>
        <v>133</v>
      </c>
      <c r="AV8">
        <f t="shared" si="5"/>
        <v>133</v>
      </c>
      <c r="AW8">
        <f t="shared" si="5"/>
        <v>133</v>
      </c>
    </row>
    <row r="9" spans="1:49" x14ac:dyDescent="0.25">
      <c r="C9" t="s">
        <v>23</v>
      </c>
      <c r="D9" s="63">
        <v>91.92</v>
      </c>
      <c r="AM9">
        <v>115</v>
      </c>
      <c r="AN9">
        <f t="shared" si="5"/>
        <v>115</v>
      </c>
      <c r="AO9">
        <f t="shared" si="5"/>
        <v>115</v>
      </c>
      <c r="AP9">
        <f t="shared" si="5"/>
        <v>115</v>
      </c>
      <c r="AQ9">
        <f t="shared" si="5"/>
        <v>115</v>
      </c>
      <c r="AR9">
        <f t="shared" si="5"/>
        <v>115</v>
      </c>
      <c r="AS9">
        <f t="shared" si="5"/>
        <v>115</v>
      </c>
      <c r="AT9">
        <f t="shared" si="5"/>
        <v>115</v>
      </c>
      <c r="AU9">
        <f t="shared" si="5"/>
        <v>115</v>
      </c>
      <c r="AV9">
        <f t="shared" si="5"/>
        <v>115</v>
      </c>
      <c r="AW9">
        <f t="shared" si="5"/>
        <v>115</v>
      </c>
    </row>
    <row r="10" spans="1:49" x14ac:dyDescent="0.25">
      <c r="C10" t="s">
        <v>139</v>
      </c>
      <c r="D10" s="63">
        <v>78</v>
      </c>
      <c r="AM10">
        <v>116</v>
      </c>
      <c r="AN10">
        <f t="shared" si="5"/>
        <v>116</v>
      </c>
      <c r="AO10">
        <f t="shared" si="5"/>
        <v>116</v>
      </c>
      <c r="AP10">
        <f t="shared" si="5"/>
        <v>116</v>
      </c>
      <c r="AQ10">
        <f t="shared" si="5"/>
        <v>116</v>
      </c>
      <c r="AR10">
        <f t="shared" si="5"/>
        <v>116</v>
      </c>
      <c r="AS10">
        <f t="shared" si="5"/>
        <v>116</v>
      </c>
      <c r="AT10">
        <f t="shared" si="5"/>
        <v>116</v>
      </c>
      <c r="AU10">
        <f t="shared" si="5"/>
        <v>116</v>
      </c>
      <c r="AV10">
        <f t="shared" si="5"/>
        <v>116</v>
      </c>
      <c r="AW10">
        <f t="shared" si="5"/>
        <v>116</v>
      </c>
    </row>
    <row r="13" spans="1:49" x14ac:dyDescent="0.25">
      <c r="A13" s="1" t="s">
        <v>141</v>
      </c>
    </row>
    <row r="14" spans="1:49" x14ac:dyDescent="0.25">
      <c r="C14" s="1" t="s">
        <v>11</v>
      </c>
      <c r="D14">
        <v>2015</v>
      </c>
      <c r="E14">
        <f>D14+1</f>
        <v>2016</v>
      </c>
      <c r="F14">
        <f>E14+1</f>
        <v>2017</v>
      </c>
      <c r="G14">
        <f>F14+1</f>
        <v>2018</v>
      </c>
      <c r="H14">
        <f>G14+1</f>
        <v>2019</v>
      </c>
      <c r="I14">
        <v>2020</v>
      </c>
      <c r="J14">
        <f t="shared" ref="J14:R14" si="6">I14+1</f>
        <v>2021</v>
      </c>
      <c r="K14">
        <f t="shared" si="6"/>
        <v>2022</v>
      </c>
      <c r="L14">
        <f t="shared" si="6"/>
        <v>2023</v>
      </c>
      <c r="M14">
        <f t="shared" si="6"/>
        <v>2024</v>
      </c>
      <c r="N14">
        <f t="shared" si="6"/>
        <v>2025</v>
      </c>
      <c r="O14">
        <f t="shared" si="6"/>
        <v>2026</v>
      </c>
      <c r="P14">
        <f t="shared" si="6"/>
        <v>2027</v>
      </c>
      <c r="Q14">
        <f t="shared" si="6"/>
        <v>2028</v>
      </c>
      <c r="R14">
        <f t="shared" si="6"/>
        <v>2029</v>
      </c>
      <c r="S14">
        <v>2030</v>
      </c>
      <c r="T14">
        <f t="shared" ref="T14:AB14" si="7">S14+1</f>
        <v>2031</v>
      </c>
      <c r="U14">
        <f t="shared" si="7"/>
        <v>2032</v>
      </c>
      <c r="V14">
        <f t="shared" si="7"/>
        <v>2033</v>
      </c>
      <c r="W14">
        <f t="shared" si="7"/>
        <v>2034</v>
      </c>
      <c r="X14">
        <f t="shared" si="7"/>
        <v>2035</v>
      </c>
      <c r="Y14">
        <f t="shared" si="7"/>
        <v>2036</v>
      </c>
      <c r="Z14">
        <f t="shared" si="7"/>
        <v>2037</v>
      </c>
      <c r="AA14">
        <f t="shared" si="7"/>
        <v>2038</v>
      </c>
      <c r="AB14">
        <f t="shared" si="7"/>
        <v>2039</v>
      </c>
      <c r="AC14">
        <v>2040</v>
      </c>
      <c r="AD14">
        <f t="shared" ref="AD14:AL14" si="8">AC14+1</f>
        <v>2041</v>
      </c>
      <c r="AE14">
        <f t="shared" si="8"/>
        <v>2042</v>
      </c>
      <c r="AF14">
        <f t="shared" si="8"/>
        <v>2043</v>
      </c>
      <c r="AG14">
        <f t="shared" si="8"/>
        <v>2044</v>
      </c>
      <c r="AH14">
        <f t="shared" si="8"/>
        <v>2045</v>
      </c>
      <c r="AI14">
        <f t="shared" si="8"/>
        <v>2046</v>
      </c>
      <c r="AJ14">
        <f t="shared" si="8"/>
        <v>2047</v>
      </c>
      <c r="AK14">
        <f t="shared" si="8"/>
        <v>2048</v>
      </c>
      <c r="AL14">
        <f t="shared" si="8"/>
        <v>2049</v>
      </c>
      <c r="AM14">
        <v>2050</v>
      </c>
      <c r="AN14">
        <f t="shared" ref="AN14:AV14" si="9">AM14+1</f>
        <v>2051</v>
      </c>
      <c r="AO14">
        <f t="shared" si="9"/>
        <v>2052</v>
      </c>
      <c r="AP14">
        <f t="shared" si="9"/>
        <v>2053</v>
      </c>
      <c r="AQ14">
        <f t="shared" si="9"/>
        <v>2054</v>
      </c>
      <c r="AR14">
        <f t="shared" si="9"/>
        <v>2055</v>
      </c>
      <c r="AS14">
        <f t="shared" si="9"/>
        <v>2056</v>
      </c>
      <c r="AT14">
        <f t="shared" si="9"/>
        <v>2057</v>
      </c>
      <c r="AU14">
        <f t="shared" si="9"/>
        <v>2058</v>
      </c>
      <c r="AV14">
        <f t="shared" si="9"/>
        <v>2059</v>
      </c>
      <c r="AW14">
        <v>2060</v>
      </c>
    </row>
    <row r="15" spans="1:49" x14ac:dyDescent="0.25">
      <c r="C15" t="s">
        <v>18</v>
      </c>
      <c r="D15" s="63">
        <v>5</v>
      </c>
      <c r="AM15">
        <v>41</v>
      </c>
      <c r="AN15">
        <f>AM15</f>
        <v>41</v>
      </c>
      <c r="AO15">
        <f t="shared" ref="AO15:AO21" si="10">AN15</f>
        <v>41</v>
      </c>
      <c r="AP15">
        <f t="shared" ref="AP15:AP21" si="11">AO15</f>
        <v>41</v>
      </c>
      <c r="AQ15">
        <f t="shared" ref="AQ15:AQ21" si="12">AP15</f>
        <v>41</v>
      </c>
      <c r="AR15">
        <f t="shared" ref="AR15:AR21" si="13">AQ15</f>
        <v>41</v>
      </c>
      <c r="AS15">
        <f t="shared" ref="AS15:AS21" si="14">AR15</f>
        <v>41</v>
      </c>
      <c r="AT15">
        <f t="shared" ref="AT15:AT21" si="15">AS15</f>
        <v>41</v>
      </c>
      <c r="AU15">
        <f t="shared" ref="AU15:AU21" si="16">AT15</f>
        <v>41</v>
      </c>
      <c r="AV15">
        <f t="shared" ref="AV15:AV21" si="17">AU15</f>
        <v>41</v>
      </c>
      <c r="AW15">
        <f t="shared" ref="AW15:AW21" si="18">AV15</f>
        <v>41</v>
      </c>
    </row>
    <row r="16" spans="1:49" x14ac:dyDescent="0.25">
      <c r="C16" t="s">
        <v>19</v>
      </c>
      <c r="D16" s="63">
        <v>10</v>
      </c>
      <c r="AM16">
        <v>69</v>
      </c>
      <c r="AN16">
        <f t="shared" ref="AN16:AN21" si="19">AM16</f>
        <v>69</v>
      </c>
      <c r="AO16">
        <f t="shared" si="10"/>
        <v>69</v>
      </c>
      <c r="AP16">
        <f t="shared" si="11"/>
        <v>69</v>
      </c>
      <c r="AQ16">
        <f t="shared" si="12"/>
        <v>69</v>
      </c>
      <c r="AR16">
        <f t="shared" si="13"/>
        <v>69</v>
      </c>
      <c r="AS16">
        <f t="shared" si="14"/>
        <v>69</v>
      </c>
      <c r="AT16">
        <f t="shared" si="15"/>
        <v>69</v>
      </c>
      <c r="AU16">
        <f t="shared" si="16"/>
        <v>69</v>
      </c>
      <c r="AV16">
        <f t="shared" si="17"/>
        <v>69</v>
      </c>
      <c r="AW16">
        <f t="shared" si="18"/>
        <v>69</v>
      </c>
    </row>
    <row r="17" spans="3:49" x14ac:dyDescent="0.25">
      <c r="C17" t="s">
        <v>20</v>
      </c>
      <c r="D17" s="63"/>
      <c r="AM17">
        <v>73</v>
      </c>
      <c r="AN17">
        <f t="shared" si="19"/>
        <v>73</v>
      </c>
      <c r="AO17">
        <f t="shared" si="10"/>
        <v>73</v>
      </c>
      <c r="AP17">
        <f t="shared" si="11"/>
        <v>73</v>
      </c>
      <c r="AQ17">
        <f t="shared" si="12"/>
        <v>73</v>
      </c>
      <c r="AR17">
        <f t="shared" si="13"/>
        <v>73</v>
      </c>
      <c r="AS17">
        <f t="shared" si="14"/>
        <v>73</v>
      </c>
      <c r="AT17">
        <f t="shared" si="15"/>
        <v>73</v>
      </c>
      <c r="AU17">
        <f t="shared" si="16"/>
        <v>73</v>
      </c>
      <c r="AV17">
        <f t="shared" si="17"/>
        <v>73</v>
      </c>
      <c r="AW17">
        <f t="shared" si="18"/>
        <v>73</v>
      </c>
    </row>
    <row r="18" spans="3:49" x14ac:dyDescent="0.25">
      <c r="C18" t="s">
        <v>21</v>
      </c>
      <c r="D18" s="63"/>
      <c r="AM18">
        <v>103</v>
      </c>
      <c r="AN18">
        <f t="shared" si="19"/>
        <v>103</v>
      </c>
      <c r="AO18">
        <f t="shared" si="10"/>
        <v>103</v>
      </c>
      <c r="AP18">
        <f t="shared" si="11"/>
        <v>103</v>
      </c>
      <c r="AQ18">
        <f t="shared" si="12"/>
        <v>103</v>
      </c>
      <c r="AR18">
        <f t="shared" si="13"/>
        <v>103</v>
      </c>
      <c r="AS18">
        <f t="shared" si="14"/>
        <v>103</v>
      </c>
      <c r="AT18">
        <f t="shared" si="15"/>
        <v>103</v>
      </c>
      <c r="AU18">
        <f t="shared" si="16"/>
        <v>103</v>
      </c>
      <c r="AV18">
        <f t="shared" si="17"/>
        <v>103</v>
      </c>
      <c r="AW18">
        <f t="shared" si="18"/>
        <v>103</v>
      </c>
    </row>
    <row r="19" spans="3:49" x14ac:dyDescent="0.25">
      <c r="C19" t="s">
        <v>22</v>
      </c>
      <c r="D19" s="63"/>
      <c r="AM19">
        <v>133</v>
      </c>
      <c r="AN19">
        <f t="shared" si="19"/>
        <v>133</v>
      </c>
      <c r="AO19">
        <f t="shared" si="10"/>
        <v>133</v>
      </c>
      <c r="AP19">
        <f t="shared" si="11"/>
        <v>133</v>
      </c>
      <c r="AQ19">
        <f t="shared" si="12"/>
        <v>133</v>
      </c>
      <c r="AR19">
        <f t="shared" si="13"/>
        <v>133</v>
      </c>
      <c r="AS19">
        <f t="shared" si="14"/>
        <v>133</v>
      </c>
      <c r="AT19">
        <f t="shared" si="15"/>
        <v>133</v>
      </c>
      <c r="AU19">
        <f t="shared" si="16"/>
        <v>133</v>
      </c>
      <c r="AV19">
        <f t="shared" si="17"/>
        <v>133</v>
      </c>
      <c r="AW19">
        <f t="shared" si="18"/>
        <v>133</v>
      </c>
    </row>
    <row r="20" spans="3:49" x14ac:dyDescent="0.25">
      <c r="C20" t="s">
        <v>23</v>
      </c>
      <c r="D20" s="63"/>
      <c r="AM20">
        <v>115</v>
      </c>
      <c r="AN20">
        <f t="shared" si="19"/>
        <v>115</v>
      </c>
      <c r="AO20">
        <f t="shared" si="10"/>
        <v>115</v>
      </c>
      <c r="AP20">
        <f t="shared" si="11"/>
        <v>115</v>
      </c>
      <c r="AQ20">
        <f t="shared" si="12"/>
        <v>115</v>
      </c>
      <c r="AR20">
        <f t="shared" si="13"/>
        <v>115</v>
      </c>
      <c r="AS20">
        <f t="shared" si="14"/>
        <v>115</v>
      </c>
      <c r="AT20">
        <f t="shared" si="15"/>
        <v>115</v>
      </c>
      <c r="AU20">
        <f t="shared" si="16"/>
        <v>115</v>
      </c>
      <c r="AV20">
        <f t="shared" si="17"/>
        <v>115</v>
      </c>
      <c r="AW20">
        <f t="shared" si="18"/>
        <v>115</v>
      </c>
    </row>
    <row r="21" spans="3:49" x14ac:dyDescent="0.25">
      <c r="C21" t="s">
        <v>139</v>
      </c>
      <c r="D21" s="63"/>
      <c r="AM21">
        <v>116</v>
      </c>
      <c r="AN21">
        <f t="shared" si="19"/>
        <v>116</v>
      </c>
      <c r="AO21">
        <f t="shared" si="10"/>
        <v>116</v>
      </c>
      <c r="AP21">
        <f t="shared" si="11"/>
        <v>116</v>
      </c>
      <c r="AQ21">
        <f t="shared" si="12"/>
        <v>116</v>
      </c>
      <c r="AR21">
        <f t="shared" si="13"/>
        <v>116</v>
      </c>
      <c r="AS21">
        <f t="shared" si="14"/>
        <v>116</v>
      </c>
      <c r="AT21">
        <f t="shared" si="15"/>
        <v>116</v>
      </c>
      <c r="AU21">
        <f t="shared" si="16"/>
        <v>116</v>
      </c>
      <c r="AV21">
        <f t="shared" si="17"/>
        <v>116</v>
      </c>
      <c r="AW21">
        <f t="shared" si="18"/>
        <v>116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40"/>
  <sheetViews>
    <sheetView zoomScale="66" workbookViewId="0">
      <selection activeCell="C5" sqref="C5"/>
    </sheetView>
  </sheetViews>
  <sheetFormatPr defaultRowHeight="15" x14ac:dyDescent="0.25"/>
  <sheetData>
    <row r="1" spans="2:14" x14ac:dyDescent="0.25">
      <c r="C1" s="92" t="s">
        <v>29</v>
      </c>
      <c r="D1" s="92"/>
      <c r="E1" s="92"/>
      <c r="F1" s="92"/>
      <c r="G1" s="92"/>
      <c r="H1" s="92"/>
      <c r="I1" s="25"/>
      <c r="J1" s="93" t="s">
        <v>30</v>
      </c>
      <c r="K1" s="92"/>
      <c r="L1" s="92"/>
      <c r="M1" s="92"/>
    </row>
    <row r="2" spans="2:14" x14ac:dyDescent="0.25">
      <c r="B2" s="1" t="s">
        <v>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s="23" t="s">
        <v>135</v>
      </c>
      <c r="K2" s="24" t="s">
        <v>38</v>
      </c>
      <c r="L2" s="24" t="s">
        <v>136</v>
      </c>
      <c r="M2" s="56" t="s">
        <v>96</v>
      </c>
      <c r="N2" s="56"/>
    </row>
    <row r="3" spans="2:14" x14ac:dyDescent="0.25">
      <c r="B3" s="6" t="s">
        <v>2</v>
      </c>
      <c r="C3">
        <f>0.105+Calculations_cells!F34</f>
        <v>0.11002598235488097</v>
      </c>
      <c r="D3">
        <v>0.13500000000000001</v>
      </c>
      <c r="E3">
        <v>0.7</v>
      </c>
      <c r="F3">
        <v>0</v>
      </c>
      <c r="G3" s="53">
        <f>Calculations_cells!F27</f>
        <v>0.74341713154694844</v>
      </c>
      <c r="H3" s="53">
        <f>Calculations_cells!F28+Calculations_cells!I23</f>
        <v>0.39790244825240895</v>
      </c>
      <c r="I3" s="53">
        <f>Calculations_cells!F24</f>
        <v>0.98531357060081548</v>
      </c>
      <c r="J3" s="23">
        <v>0.30403007518796993</v>
      </c>
      <c r="K3" s="24">
        <v>0.40538345864661651</v>
      </c>
      <c r="L3" s="24">
        <v>8.194736842105263E-2</v>
      </c>
      <c r="M3" s="24">
        <v>0.37545563909774438</v>
      </c>
    </row>
    <row r="4" spans="2:14" x14ac:dyDescent="0.25">
      <c r="B4" s="6" t="s">
        <v>151</v>
      </c>
      <c r="C4">
        <f>0.14+Calculations_cells!B34</f>
        <v>0.1456536961986426</v>
      </c>
      <c r="D4">
        <v>0.23</v>
      </c>
      <c r="E4">
        <v>0.48</v>
      </c>
      <c r="F4">
        <v>0.36</v>
      </c>
      <c r="G4" s="53">
        <f>Calculations_cells!B27</f>
        <v>0.80053395340397371</v>
      </c>
      <c r="H4" s="53">
        <f>Calculations_cells!B28</f>
        <v>0.41629890802523628</v>
      </c>
      <c r="I4" s="53">
        <f>Calculations_cells!B24</f>
        <v>0.98501536609544393</v>
      </c>
      <c r="J4" s="23">
        <v>0.30403007518796993</v>
      </c>
      <c r="K4" s="24">
        <v>0.40538345864661651</v>
      </c>
      <c r="L4" s="24">
        <v>8.194736842105263E-2</v>
      </c>
      <c r="M4" s="24">
        <v>0.37545563909774438</v>
      </c>
    </row>
    <row r="5" spans="2:14" x14ac:dyDescent="0.25">
      <c r="B5" s="6" t="s">
        <v>5</v>
      </c>
      <c r="C5">
        <f>0.126+Calculations_cells!C34</f>
        <v>0.1311650011784054</v>
      </c>
      <c r="D5" s="26">
        <v>0.19500000000000001</v>
      </c>
      <c r="E5">
        <v>0.62</v>
      </c>
      <c r="F5">
        <v>0.19500000000000001</v>
      </c>
      <c r="G5" s="53">
        <f>Calculations_cells!C27</f>
        <v>0.73835302820149351</v>
      </c>
      <c r="H5" s="53">
        <f>Calculations_cells!C28</f>
        <v>0.38381317074485111</v>
      </c>
      <c r="I5" s="53">
        <f>Calculations_cells!C24</f>
        <v>0.96615593271143463</v>
      </c>
      <c r="J5" s="23">
        <v>0.30403007518796993</v>
      </c>
      <c r="K5" s="24">
        <v>0.40538345864661651</v>
      </c>
      <c r="L5" s="24">
        <v>8.194736842105263E-2</v>
      </c>
      <c r="M5" s="24">
        <v>0.37545563909774438</v>
      </c>
    </row>
    <row r="6" spans="2:14" x14ac:dyDescent="0.25">
      <c r="B6" s="6" t="s">
        <v>137</v>
      </c>
      <c r="C6">
        <f>0.11+Calculations_cells!D34</f>
        <v>0.11614330990593753</v>
      </c>
      <c r="D6">
        <v>0.09</v>
      </c>
      <c r="E6">
        <v>0.75</v>
      </c>
      <c r="F6">
        <v>0.09</v>
      </c>
      <c r="G6" s="53">
        <f>Calculations_cells!D27</f>
        <v>0.75008413302288457</v>
      </c>
      <c r="H6" s="53">
        <f>Calculations_cells!D28</f>
        <v>0.39313135910603653</v>
      </c>
      <c r="I6" s="53">
        <f>Calculations_cells!D24</f>
        <v>0.9840869715589361</v>
      </c>
      <c r="J6" s="23">
        <v>0.30403007518796993</v>
      </c>
      <c r="K6" s="24">
        <v>0.40538345864661651</v>
      </c>
      <c r="L6" s="24">
        <v>8.194736842105263E-2</v>
      </c>
      <c r="M6" s="24">
        <v>0.37545563909774438</v>
      </c>
    </row>
    <row r="7" spans="2:14" x14ac:dyDescent="0.25">
      <c r="B7" s="6" t="s">
        <v>8</v>
      </c>
      <c r="C7">
        <f>0.1+Calculations_cells!G34</f>
        <v>0.11057207087732013</v>
      </c>
      <c r="D7">
        <v>0</v>
      </c>
      <c r="E7">
        <v>0</v>
      </c>
      <c r="F7">
        <v>0</v>
      </c>
      <c r="G7" s="53">
        <f>Calculations_cells!G27</f>
        <v>0.87168544846185236</v>
      </c>
      <c r="H7" s="53">
        <f>Calculations_cells!G28</f>
        <v>0.47309975851553665</v>
      </c>
      <c r="I7" s="53">
        <f>Calculations_cells!G24</f>
        <v>1.0560349264523448</v>
      </c>
      <c r="J7" s="23">
        <v>0.30403007518796993</v>
      </c>
      <c r="K7" s="24">
        <v>0.40538345864661651</v>
      </c>
      <c r="L7" s="24">
        <v>8.194736842105263E-2</v>
      </c>
      <c r="M7" s="24">
        <v>0.37545563909774438</v>
      </c>
    </row>
    <row r="8" spans="2:14" x14ac:dyDescent="0.25">
      <c r="B8" t="s">
        <v>164</v>
      </c>
      <c r="C8">
        <v>0.13900000000000001</v>
      </c>
      <c r="D8">
        <v>0.39400000000000002</v>
      </c>
      <c r="E8">
        <v>0.39200000000000002</v>
      </c>
      <c r="F8">
        <v>0.36699999999999999</v>
      </c>
      <c r="G8">
        <v>0.80100000000000005</v>
      </c>
      <c r="H8">
        <v>0.41599999999999998</v>
      </c>
      <c r="I8">
        <v>0.98499999999999999</v>
      </c>
      <c r="J8" s="23">
        <v>0.30403007518796993</v>
      </c>
      <c r="K8" s="24">
        <v>0.40538345864661651</v>
      </c>
      <c r="L8" s="24">
        <v>8.194736842105263E-2</v>
      </c>
      <c r="M8" s="24">
        <v>0.37545563909774438</v>
      </c>
    </row>
    <row r="9" spans="2:14" x14ac:dyDescent="0.25">
      <c r="B9" s="6" t="s">
        <v>168</v>
      </c>
      <c r="C9">
        <f>C22*E21</f>
        <v>0.1064723738661464</v>
      </c>
      <c r="D9">
        <f>C22*F22</f>
        <v>4.7951690760355437E-2</v>
      </c>
      <c r="E9">
        <f>C22*G22</f>
        <v>0.86313043368639775</v>
      </c>
      <c r="F9">
        <f>C22*H22</f>
        <v>4.7951690760355437E-2</v>
      </c>
      <c r="G9" s="53">
        <f>G6</f>
        <v>0.75008413302288457</v>
      </c>
      <c r="H9" s="53">
        <f>H6</f>
        <v>0.39313135910603653</v>
      </c>
      <c r="I9" s="53">
        <f>I6</f>
        <v>0.9840869715589361</v>
      </c>
      <c r="J9" s="23">
        <v>0.30403007518796993</v>
      </c>
      <c r="K9" s="24">
        <v>0.40538345864661651</v>
      </c>
      <c r="L9" s="24">
        <v>8.194736842105263E-2</v>
      </c>
      <c r="M9" s="24">
        <v>0.37545563909774438</v>
      </c>
    </row>
    <row r="10" spans="2:14" x14ac:dyDescent="0.25">
      <c r="B10" s="6" t="s">
        <v>156</v>
      </c>
      <c r="C10" s="77">
        <v>1</v>
      </c>
      <c r="D10">
        <v>0</v>
      </c>
      <c r="E10">
        <v>0</v>
      </c>
      <c r="F10">
        <v>0</v>
      </c>
      <c r="G10" s="53">
        <f>G9</f>
        <v>0.75008413302288457</v>
      </c>
      <c r="H10" s="53">
        <f>H9</f>
        <v>0.39313135910603653</v>
      </c>
      <c r="I10" s="53">
        <f>I9</f>
        <v>0.9840869715589361</v>
      </c>
      <c r="J10">
        <v>0.30403007518796993</v>
      </c>
      <c r="K10">
        <v>0.40538345864661651</v>
      </c>
      <c r="L10">
        <v>8.194736842105263E-2</v>
      </c>
      <c r="M10">
        <v>0.37545563909774438</v>
      </c>
    </row>
    <row r="13" spans="2:14" x14ac:dyDescent="0.25">
      <c r="B13" s="6"/>
    </row>
    <row r="15" spans="2:14" x14ac:dyDescent="0.25">
      <c r="B15" s="6"/>
    </row>
    <row r="17" spans="1:29" x14ac:dyDescent="0.25">
      <c r="B17" s="6"/>
      <c r="C17" s="1" t="s">
        <v>190</v>
      </c>
      <c r="E17" t="s">
        <v>194</v>
      </c>
      <c r="F17" t="s">
        <v>193</v>
      </c>
      <c r="G17" t="s">
        <v>192</v>
      </c>
      <c r="H17" t="s">
        <v>191</v>
      </c>
    </row>
    <row r="18" spans="1:29" x14ac:dyDescent="0.25">
      <c r="B18" t="s">
        <v>164</v>
      </c>
      <c r="C18">
        <f>SUM(C8:F8)</f>
        <v>1.292</v>
      </c>
      <c r="E18">
        <f>C8/C18</f>
        <v>0.10758513931888546</v>
      </c>
      <c r="F18">
        <f>D8/$C$18</f>
        <v>0.30495356037151705</v>
      </c>
      <c r="G18">
        <f>E8/$C$18</f>
        <v>0.30340557275541796</v>
      </c>
      <c r="H18">
        <f>F8/$C$18</f>
        <v>0.28405572755417957</v>
      </c>
    </row>
    <row r="19" spans="1:29" x14ac:dyDescent="0.25">
      <c r="B19" s="6" t="s">
        <v>151</v>
      </c>
      <c r="C19">
        <f>SUM(C4:F4)</f>
        <v>1.2156536961986426</v>
      </c>
      <c r="E19">
        <f>C4/C19</f>
        <v>0.11981512222938383</v>
      </c>
      <c r="F19">
        <f>D4/$C$19</f>
        <v>0.18919861858620723</v>
      </c>
      <c r="G19">
        <f>E4/$C$19</f>
        <v>0.39484929096251936</v>
      </c>
      <c r="H19">
        <f>F4/$C$19</f>
        <v>0.29613696822188956</v>
      </c>
      <c r="AC19">
        <f>0.15+0.4+0.4+0.37</f>
        <v>1.32</v>
      </c>
    </row>
    <row r="20" spans="1:29" x14ac:dyDescent="0.25">
      <c r="B20" s="6" t="s">
        <v>5</v>
      </c>
      <c r="C20">
        <f>SUM(C5:F5)</f>
        <v>1.1411650011784054</v>
      </c>
      <c r="E20">
        <f>C5/C20</f>
        <v>0.11493955829609216</v>
      </c>
      <c r="F20">
        <f>D5/$C$20</f>
        <v>0.17087800607154657</v>
      </c>
      <c r="G20">
        <f>E5/$C$20</f>
        <v>0.54330442956081471</v>
      </c>
      <c r="H20">
        <f>F5/$C$20</f>
        <v>0.17087800607154657</v>
      </c>
      <c r="AC20">
        <f>0.14+0.47+0.35+0.35</f>
        <v>1.31</v>
      </c>
    </row>
    <row r="21" spans="1:29" x14ac:dyDescent="0.25">
      <c r="A21" s="15"/>
      <c r="B21" s="6" t="s">
        <v>137</v>
      </c>
      <c r="C21">
        <f>SUM(C6:F6)</f>
        <v>1.0461433099059376</v>
      </c>
      <c r="E21">
        <f>C6/C21</f>
        <v>0.11102045848420174</v>
      </c>
      <c r="F21">
        <f>D6/$C$21</f>
        <v>8.6030278211206276E-2</v>
      </c>
      <c r="G21">
        <f>E6/$C$21</f>
        <v>0.71691898509338559</v>
      </c>
      <c r="H21">
        <f>F6/$C$21</f>
        <v>8.6030278211206276E-2</v>
      </c>
      <c r="AC21">
        <f>0.14+0.59+0.23+0.35</f>
        <v>1.31</v>
      </c>
    </row>
    <row r="22" spans="1:29" x14ac:dyDescent="0.25">
      <c r="A22" s="15"/>
      <c r="B22" s="65" t="s">
        <v>168</v>
      </c>
      <c r="C22" s="1">
        <v>0.95903381520710862</v>
      </c>
      <c r="D22" s="1"/>
      <c r="E22" s="1">
        <f>E21</f>
        <v>0.11102045848420174</v>
      </c>
      <c r="F22" s="1">
        <v>0.05</v>
      </c>
      <c r="G22" s="1">
        <f>0.9</f>
        <v>0.9</v>
      </c>
      <c r="H22" s="1">
        <v>0.05</v>
      </c>
      <c r="AC22">
        <f>0.13+0.61+0.19+0.2</f>
        <v>1.1299999999999999</v>
      </c>
    </row>
    <row r="23" spans="1:29" x14ac:dyDescent="0.25">
      <c r="A23" s="15"/>
      <c r="B23" s="16"/>
      <c r="C23" s="17"/>
      <c r="D23" s="15"/>
      <c r="E23" s="15"/>
      <c r="F23" s="15"/>
      <c r="AC23">
        <f>0.11+0.75+0.09+0.09</f>
        <v>1.04</v>
      </c>
    </row>
    <row r="24" spans="1:29" x14ac:dyDescent="0.25">
      <c r="A24" s="15"/>
      <c r="B24" s="16"/>
      <c r="C24" s="17"/>
      <c r="D24" s="15"/>
      <c r="E24" s="15"/>
      <c r="F24" s="15"/>
    </row>
    <row r="25" spans="1:29" x14ac:dyDescent="0.25">
      <c r="A25" s="15"/>
      <c r="B25" s="16"/>
      <c r="C25" s="17"/>
      <c r="D25" s="15"/>
      <c r="E25" s="15"/>
      <c r="F25" s="15"/>
    </row>
    <row r="26" spans="1:29" x14ac:dyDescent="0.25">
      <c r="A26" s="15"/>
      <c r="B26" s="16"/>
      <c r="C26" s="17"/>
      <c r="D26" s="15"/>
      <c r="E26" s="15"/>
      <c r="F26" s="15"/>
    </row>
    <row r="27" spans="1:29" x14ac:dyDescent="0.25">
      <c r="A27" s="15"/>
      <c r="B27" s="16"/>
      <c r="C27" s="17"/>
      <c r="D27" s="15"/>
      <c r="E27" s="15"/>
      <c r="F27" s="15"/>
    </row>
    <row r="28" spans="1:29" x14ac:dyDescent="0.25">
      <c r="A28" s="15"/>
      <c r="B28" s="16"/>
      <c r="C28" s="17"/>
      <c r="D28" s="15"/>
      <c r="E28" s="15"/>
      <c r="F28" s="15"/>
    </row>
    <row r="29" spans="1:29" x14ac:dyDescent="0.25">
      <c r="A29" s="15" t="s">
        <v>233</v>
      </c>
      <c r="B29" s="16">
        <v>100</v>
      </c>
      <c r="C29" s="17" t="s">
        <v>234</v>
      </c>
      <c r="D29" s="15"/>
      <c r="E29" s="15"/>
      <c r="F29" s="15"/>
    </row>
    <row r="30" spans="1:29" x14ac:dyDescent="0.25">
      <c r="A30" s="15"/>
      <c r="B30" s="15"/>
      <c r="C30" s="15"/>
      <c r="D30" s="15"/>
      <c r="E30" s="15"/>
      <c r="F30" s="15"/>
    </row>
    <row r="31" spans="1:29" x14ac:dyDescent="0.25">
      <c r="A31" s="15"/>
      <c r="B31" s="15"/>
      <c r="C31" s="15" t="s">
        <v>29</v>
      </c>
      <c r="D31" s="15"/>
      <c r="E31" s="15"/>
      <c r="F31" s="15"/>
      <c r="J31" t="s">
        <v>30</v>
      </c>
    </row>
    <row r="32" spans="1:29" x14ac:dyDescent="0.25">
      <c r="A32" s="15"/>
      <c r="B32" s="15" t="s">
        <v>0</v>
      </c>
      <c r="C32" s="15" t="s">
        <v>31</v>
      </c>
      <c r="D32" s="15" t="s">
        <v>32</v>
      </c>
      <c r="E32" s="15" t="s">
        <v>33</v>
      </c>
      <c r="F32" s="15" t="s">
        <v>34</v>
      </c>
      <c r="G32" t="s">
        <v>35</v>
      </c>
      <c r="H32" t="s">
        <v>36</v>
      </c>
      <c r="I32" t="s">
        <v>37</v>
      </c>
      <c r="J32" t="s">
        <v>135</v>
      </c>
      <c r="K32" t="s">
        <v>38</v>
      </c>
      <c r="L32" t="s">
        <v>136</v>
      </c>
      <c r="M32" t="s">
        <v>96</v>
      </c>
    </row>
    <row r="33" spans="1:13" x14ac:dyDescent="0.25">
      <c r="A33" s="15"/>
      <c r="B33" s="15" t="s">
        <v>2</v>
      </c>
      <c r="C33" s="15">
        <f>C3*$B$29</f>
        <v>11.002598235488097</v>
      </c>
      <c r="D33" s="15">
        <f t="shared" ref="D33:M33" si="0">D3*$B$29</f>
        <v>13.5</v>
      </c>
      <c r="E33" s="15">
        <f t="shared" si="0"/>
        <v>70</v>
      </c>
      <c r="F33" s="15">
        <f t="shared" si="0"/>
        <v>0</v>
      </c>
      <c r="G33" s="15">
        <f t="shared" si="0"/>
        <v>74.341713154694844</v>
      </c>
      <c r="H33" s="15">
        <f t="shared" si="0"/>
        <v>39.790244825240897</v>
      </c>
      <c r="I33" s="15">
        <f t="shared" si="0"/>
        <v>98.531357060081547</v>
      </c>
      <c r="J33" s="15">
        <f t="shared" si="0"/>
        <v>30.403007518796993</v>
      </c>
      <c r="K33" s="15">
        <f t="shared" si="0"/>
        <v>40.53834586466165</v>
      </c>
      <c r="L33" s="15">
        <f t="shared" si="0"/>
        <v>8.1947368421052627</v>
      </c>
      <c r="M33" s="15">
        <f t="shared" si="0"/>
        <v>37.545563909774437</v>
      </c>
    </row>
    <row r="34" spans="1:13" x14ac:dyDescent="0.25">
      <c r="A34" s="15"/>
      <c r="B34" s="15" t="s">
        <v>151</v>
      </c>
      <c r="C34" s="15">
        <f t="shared" ref="C34:M40" si="1">C4*$B$29</f>
        <v>14.56536961986426</v>
      </c>
      <c r="D34" s="15">
        <f t="shared" si="1"/>
        <v>23</v>
      </c>
      <c r="E34" s="15">
        <f t="shared" si="1"/>
        <v>48</v>
      </c>
      <c r="F34" s="15">
        <f t="shared" si="1"/>
        <v>36</v>
      </c>
      <c r="G34" s="15">
        <f t="shared" si="1"/>
        <v>80.053395340397373</v>
      </c>
      <c r="H34" s="15">
        <f t="shared" si="1"/>
        <v>41.629890802523626</v>
      </c>
      <c r="I34" s="15">
        <f t="shared" si="1"/>
        <v>98.501536609544388</v>
      </c>
      <c r="J34" s="15">
        <f t="shared" si="1"/>
        <v>30.403007518796993</v>
      </c>
      <c r="K34" s="15">
        <f t="shared" si="1"/>
        <v>40.53834586466165</v>
      </c>
      <c r="L34" s="15">
        <f t="shared" si="1"/>
        <v>8.1947368421052627</v>
      </c>
      <c r="M34" s="15">
        <f t="shared" si="1"/>
        <v>37.545563909774437</v>
      </c>
    </row>
    <row r="35" spans="1:13" x14ac:dyDescent="0.25">
      <c r="B35" t="s">
        <v>5</v>
      </c>
      <c r="C35" s="15">
        <f t="shared" si="1"/>
        <v>13.116500117840541</v>
      </c>
      <c r="D35" s="15">
        <f t="shared" si="1"/>
        <v>19.5</v>
      </c>
      <c r="E35" s="15">
        <f t="shared" si="1"/>
        <v>62</v>
      </c>
      <c r="F35" s="15">
        <f t="shared" si="1"/>
        <v>19.5</v>
      </c>
      <c r="G35" s="15">
        <f t="shared" si="1"/>
        <v>73.835302820149352</v>
      </c>
      <c r="H35" s="15">
        <f t="shared" si="1"/>
        <v>38.381317074485111</v>
      </c>
      <c r="I35" s="15">
        <f t="shared" si="1"/>
        <v>96.615593271143467</v>
      </c>
      <c r="J35" s="15">
        <f t="shared" si="1"/>
        <v>30.403007518796993</v>
      </c>
      <c r="K35" s="15">
        <f t="shared" si="1"/>
        <v>40.53834586466165</v>
      </c>
      <c r="L35" s="15">
        <f t="shared" si="1"/>
        <v>8.1947368421052627</v>
      </c>
      <c r="M35" s="15">
        <f t="shared" si="1"/>
        <v>37.545563909774437</v>
      </c>
    </row>
    <row r="36" spans="1:13" x14ac:dyDescent="0.25">
      <c r="B36" t="s">
        <v>137</v>
      </c>
      <c r="C36" s="15">
        <f t="shared" si="1"/>
        <v>11.614330990593754</v>
      </c>
      <c r="D36" s="15">
        <f t="shared" si="1"/>
        <v>9</v>
      </c>
      <c r="E36" s="15">
        <f t="shared" si="1"/>
        <v>75</v>
      </c>
      <c r="F36" s="15">
        <f t="shared" si="1"/>
        <v>9</v>
      </c>
      <c r="G36" s="15">
        <f t="shared" si="1"/>
        <v>75.00841330228846</v>
      </c>
      <c r="H36" s="15">
        <f t="shared" si="1"/>
        <v>39.313135910603656</v>
      </c>
      <c r="I36" s="15">
        <f t="shared" si="1"/>
        <v>98.408697155893606</v>
      </c>
      <c r="J36" s="15">
        <f t="shared" si="1"/>
        <v>30.403007518796993</v>
      </c>
      <c r="K36" s="15">
        <f t="shared" si="1"/>
        <v>40.53834586466165</v>
      </c>
      <c r="L36" s="15">
        <f t="shared" si="1"/>
        <v>8.1947368421052627</v>
      </c>
      <c r="M36" s="15">
        <f t="shared" si="1"/>
        <v>37.545563909774437</v>
      </c>
    </row>
    <row r="37" spans="1:13" x14ac:dyDescent="0.25">
      <c r="B37" t="s">
        <v>8</v>
      </c>
      <c r="C37" s="15">
        <f t="shared" si="1"/>
        <v>11.057207087732014</v>
      </c>
      <c r="D37" s="15">
        <f t="shared" si="1"/>
        <v>0</v>
      </c>
      <c r="E37" s="15">
        <f t="shared" si="1"/>
        <v>0</v>
      </c>
      <c r="F37" s="15">
        <f t="shared" si="1"/>
        <v>0</v>
      </c>
      <c r="G37" s="15">
        <f t="shared" si="1"/>
        <v>87.168544846185242</v>
      </c>
      <c r="H37" s="15">
        <f t="shared" si="1"/>
        <v>47.309975851553666</v>
      </c>
      <c r="I37" s="15">
        <f t="shared" si="1"/>
        <v>105.60349264523448</v>
      </c>
      <c r="J37" s="15">
        <f t="shared" si="1"/>
        <v>30.403007518796993</v>
      </c>
      <c r="K37" s="15">
        <f t="shared" si="1"/>
        <v>40.53834586466165</v>
      </c>
      <c r="L37" s="15">
        <f t="shared" si="1"/>
        <v>8.1947368421052627</v>
      </c>
      <c r="M37" s="15">
        <f t="shared" si="1"/>
        <v>37.545563909774437</v>
      </c>
    </row>
    <row r="38" spans="1:13" x14ac:dyDescent="0.25">
      <c r="B38" t="s">
        <v>164</v>
      </c>
      <c r="C38" s="15">
        <f t="shared" si="1"/>
        <v>13.900000000000002</v>
      </c>
      <c r="D38" s="15">
        <f t="shared" si="1"/>
        <v>39.4</v>
      </c>
      <c r="E38" s="15">
        <f t="shared" si="1"/>
        <v>39.200000000000003</v>
      </c>
      <c r="F38" s="15">
        <f t="shared" si="1"/>
        <v>36.700000000000003</v>
      </c>
      <c r="G38" s="15">
        <f t="shared" si="1"/>
        <v>80.100000000000009</v>
      </c>
      <c r="H38" s="15">
        <f t="shared" si="1"/>
        <v>41.6</v>
      </c>
      <c r="I38" s="15">
        <f t="shared" si="1"/>
        <v>98.5</v>
      </c>
      <c r="J38" s="15">
        <f t="shared" si="1"/>
        <v>30.403007518796993</v>
      </c>
      <c r="K38" s="15">
        <f t="shared" si="1"/>
        <v>40.53834586466165</v>
      </c>
      <c r="L38" s="15">
        <f t="shared" si="1"/>
        <v>8.1947368421052627</v>
      </c>
      <c r="M38" s="15">
        <f t="shared" si="1"/>
        <v>37.545563909774437</v>
      </c>
    </row>
    <row r="39" spans="1:13" x14ac:dyDescent="0.25">
      <c r="B39" t="s">
        <v>168</v>
      </c>
      <c r="C39" s="15">
        <f t="shared" si="1"/>
        <v>10.647237386614639</v>
      </c>
      <c r="D39" s="15">
        <f t="shared" si="1"/>
        <v>4.7951690760355437</v>
      </c>
      <c r="E39" s="15">
        <f t="shared" si="1"/>
        <v>86.313043368639768</v>
      </c>
      <c r="F39" s="15">
        <f t="shared" si="1"/>
        <v>4.7951690760355437</v>
      </c>
      <c r="G39" s="15">
        <f t="shared" si="1"/>
        <v>75.00841330228846</v>
      </c>
      <c r="H39" s="15">
        <f t="shared" si="1"/>
        <v>39.313135910603656</v>
      </c>
      <c r="I39" s="15">
        <f t="shared" si="1"/>
        <v>98.408697155893606</v>
      </c>
      <c r="J39" s="15">
        <f t="shared" si="1"/>
        <v>30.403007518796993</v>
      </c>
      <c r="K39" s="15">
        <f t="shared" si="1"/>
        <v>40.53834586466165</v>
      </c>
      <c r="L39" s="15">
        <f t="shared" si="1"/>
        <v>8.1947368421052627</v>
      </c>
      <c r="M39" s="15">
        <f t="shared" si="1"/>
        <v>37.545563909774437</v>
      </c>
    </row>
    <row r="40" spans="1:13" x14ac:dyDescent="0.25">
      <c r="B40" t="s">
        <v>156</v>
      </c>
      <c r="C40" s="15">
        <f t="shared" si="1"/>
        <v>100</v>
      </c>
      <c r="D40" s="15">
        <f t="shared" si="1"/>
        <v>0</v>
      </c>
      <c r="E40" s="15">
        <f t="shared" si="1"/>
        <v>0</v>
      </c>
      <c r="F40" s="15">
        <f t="shared" si="1"/>
        <v>0</v>
      </c>
      <c r="G40" s="15">
        <f t="shared" si="1"/>
        <v>75.00841330228846</v>
      </c>
      <c r="H40" s="15">
        <f t="shared" si="1"/>
        <v>39.313135910603656</v>
      </c>
      <c r="I40" s="15">
        <f t="shared" si="1"/>
        <v>98.408697155893606</v>
      </c>
      <c r="J40" s="15">
        <f t="shared" si="1"/>
        <v>30.403007518796993</v>
      </c>
      <c r="K40" s="15">
        <f t="shared" si="1"/>
        <v>40.53834586466165</v>
      </c>
      <c r="L40" s="15">
        <f t="shared" si="1"/>
        <v>8.1947368421052627</v>
      </c>
      <c r="M40" s="15">
        <f t="shared" si="1"/>
        <v>37.545563909774437</v>
      </c>
    </row>
  </sheetData>
  <mergeCells count="2">
    <mergeCell ref="C1:H1"/>
    <mergeCell ref="J1:M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99"/>
  <sheetViews>
    <sheetView topLeftCell="A46" zoomScale="66" zoomScaleNormal="85" workbookViewId="0">
      <selection activeCell="AC87" sqref="AC87"/>
    </sheetView>
  </sheetViews>
  <sheetFormatPr defaultRowHeight="15" x14ac:dyDescent="0.25"/>
  <cols>
    <col min="3" max="3" width="10.85546875" bestFit="1" customWidth="1"/>
    <col min="4" max="4" width="12.7109375" bestFit="1" customWidth="1"/>
    <col min="6" max="6" width="10.85546875" bestFit="1" customWidth="1"/>
    <col min="13" max="13" width="20.85546875" customWidth="1"/>
    <col min="18" max="18" width="11.140625" bestFit="1" customWidth="1"/>
    <col min="20" max="20" width="18.28515625" bestFit="1" customWidth="1"/>
  </cols>
  <sheetData>
    <row r="1" spans="1:13" x14ac:dyDescent="0.25">
      <c r="A1" t="s">
        <v>212</v>
      </c>
    </row>
    <row r="2" spans="1:13" x14ac:dyDescent="0.25">
      <c r="C2" t="s">
        <v>214</v>
      </c>
      <c r="D2" t="s">
        <v>215</v>
      </c>
    </row>
    <row r="3" spans="1:13" x14ac:dyDescent="0.25">
      <c r="A3" t="s">
        <v>213</v>
      </c>
      <c r="C3">
        <v>50</v>
      </c>
      <c r="D3">
        <v>5000000000</v>
      </c>
      <c r="F3" t="s">
        <v>216</v>
      </c>
    </row>
    <row r="4" spans="1:13" x14ac:dyDescent="0.25">
      <c r="A4" t="s">
        <v>217</v>
      </c>
      <c r="C4">
        <v>24</v>
      </c>
      <c r="D4">
        <v>3600000000</v>
      </c>
      <c r="F4" t="s">
        <v>218</v>
      </c>
      <c r="H4" t="s">
        <v>219</v>
      </c>
    </row>
    <row r="5" spans="1:13" x14ac:dyDescent="0.25">
      <c r="A5" t="s">
        <v>220</v>
      </c>
      <c r="C5">
        <v>65</v>
      </c>
      <c r="D5">
        <v>2800000000</v>
      </c>
      <c r="F5" t="s">
        <v>221</v>
      </c>
    </row>
    <row r="6" spans="1:13" x14ac:dyDescent="0.25">
      <c r="A6" t="s">
        <v>222</v>
      </c>
      <c r="C6">
        <v>18</v>
      </c>
      <c r="D6">
        <f>3000000000*0.64</f>
        <v>1920000000</v>
      </c>
      <c r="F6" t="s">
        <v>223</v>
      </c>
    </row>
    <row r="7" spans="1:13" x14ac:dyDescent="0.25">
      <c r="A7" t="s">
        <v>226</v>
      </c>
      <c r="C7">
        <v>50</v>
      </c>
      <c r="D7">
        <v>4600000000</v>
      </c>
      <c r="F7" s="76" t="s">
        <v>225</v>
      </c>
    </row>
    <row r="9" spans="1:13" x14ac:dyDescent="0.25">
      <c r="I9" t="s">
        <v>224</v>
      </c>
      <c r="M9" t="s">
        <v>225</v>
      </c>
    </row>
    <row r="10" spans="1:13" x14ac:dyDescent="0.25">
      <c r="C10">
        <f>(D3/C3)/1000000</f>
        <v>100</v>
      </c>
    </row>
    <row r="11" spans="1:13" x14ac:dyDescent="0.25">
      <c r="C11">
        <f t="shared" ref="C11:C14" si="0">(D4/C4)/1000000</f>
        <v>150</v>
      </c>
    </row>
    <row r="12" spans="1:13" x14ac:dyDescent="0.25">
      <c r="C12">
        <f t="shared" si="0"/>
        <v>43.07692307692308</v>
      </c>
    </row>
    <row r="13" spans="1:13" x14ac:dyDescent="0.25">
      <c r="C13">
        <f t="shared" si="0"/>
        <v>106.66666666666667</v>
      </c>
    </row>
    <row r="14" spans="1:13" x14ac:dyDescent="0.25">
      <c r="C14">
        <f t="shared" si="0"/>
        <v>92</v>
      </c>
    </row>
    <row r="17" spans="1:10" x14ac:dyDescent="0.25">
      <c r="J17" s="76" t="s">
        <v>227</v>
      </c>
    </row>
    <row r="18" spans="1:10" x14ac:dyDescent="0.25">
      <c r="J18" s="76" t="s">
        <v>228</v>
      </c>
    </row>
    <row r="19" spans="1:10" x14ac:dyDescent="0.25">
      <c r="J19" s="76" t="s">
        <v>229</v>
      </c>
    </row>
    <row r="20" spans="1:10" ht="15.6" customHeight="1" x14ac:dyDescent="0.25">
      <c r="J20" s="76" t="s">
        <v>230</v>
      </c>
    </row>
    <row r="21" spans="1:10" x14ac:dyDescent="0.25">
      <c r="A21" t="s">
        <v>255</v>
      </c>
    </row>
    <row r="22" spans="1:10" x14ac:dyDescent="0.25">
      <c r="A22" t="s">
        <v>256</v>
      </c>
    </row>
    <row r="23" spans="1:10" x14ac:dyDescent="0.25">
      <c r="A23" t="s">
        <v>257</v>
      </c>
    </row>
    <row r="24" spans="1:10" x14ac:dyDescent="0.25">
      <c r="B24" t="s">
        <v>258</v>
      </c>
      <c r="C24" t="s">
        <v>259</v>
      </c>
      <c r="F24" t="s">
        <v>260</v>
      </c>
      <c r="H24" t="s">
        <v>261</v>
      </c>
    </row>
    <row r="25" spans="1:10" x14ac:dyDescent="0.25">
      <c r="A25">
        <v>2010</v>
      </c>
      <c r="B25">
        <v>0.624</v>
      </c>
      <c r="C25">
        <v>0.48</v>
      </c>
      <c r="F25">
        <v>480</v>
      </c>
      <c r="H25">
        <v>480000000</v>
      </c>
      <c r="J25">
        <f>H25/1000000</f>
        <v>480</v>
      </c>
    </row>
    <row r="26" spans="1:10" x14ac:dyDescent="0.25">
      <c r="A26">
        <v>2011</v>
      </c>
      <c r="B26">
        <v>0.317</v>
      </c>
      <c r="C26">
        <v>0.28999999999999998</v>
      </c>
      <c r="F26">
        <v>290</v>
      </c>
      <c r="H26">
        <v>290000000</v>
      </c>
      <c r="J26">
        <f>H26/1000000</f>
        <v>290</v>
      </c>
    </row>
    <row r="27" spans="1:10" x14ac:dyDescent="0.25">
      <c r="A27">
        <v>2012</v>
      </c>
      <c r="B27">
        <v>0.153</v>
      </c>
      <c r="C27">
        <v>0.21</v>
      </c>
      <c r="F27">
        <v>210</v>
      </c>
      <c r="H27">
        <v>210000000</v>
      </c>
      <c r="J27">
        <f>H27/1000000</f>
        <v>210</v>
      </c>
    </row>
    <row r="28" spans="1:10" x14ac:dyDescent="0.25">
      <c r="A28">
        <v>2013</v>
      </c>
      <c r="B28">
        <v>0.114</v>
      </c>
    </row>
    <row r="29" spans="1:10" x14ac:dyDescent="0.25">
      <c r="A29">
        <v>2014</v>
      </c>
      <c r="B29">
        <v>9.4E-2</v>
      </c>
      <c r="C29">
        <v>0.15</v>
      </c>
      <c r="F29">
        <v>150</v>
      </c>
      <c r="H29">
        <v>150000000</v>
      </c>
      <c r="J29">
        <f>H29/1000000</f>
        <v>150</v>
      </c>
    </row>
    <row r="30" spans="1:10" x14ac:dyDescent="0.25">
      <c r="A30">
        <v>2015</v>
      </c>
      <c r="B30">
        <v>0.23400000000000001</v>
      </c>
    </row>
    <row r="31" spans="1:10" x14ac:dyDescent="0.25">
      <c r="A31">
        <v>2016</v>
      </c>
      <c r="B31">
        <v>0.19500000000000001</v>
      </c>
    </row>
    <row r="32" spans="1:10" x14ac:dyDescent="0.25">
      <c r="A32">
        <v>2017</v>
      </c>
      <c r="B32">
        <v>7.8E-2</v>
      </c>
    </row>
    <row r="33" spans="1:8" x14ac:dyDescent="0.25">
      <c r="A33">
        <v>2018</v>
      </c>
      <c r="B33">
        <v>0.14199999999999999</v>
      </c>
    </row>
    <row r="34" spans="1:8" x14ac:dyDescent="0.25">
      <c r="A34">
        <v>2019</v>
      </c>
      <c r="B34">
        <v>7.0000000000000007E-2</v>
      </c>
      <c r="C34">
        <v>0.09</v>
      </c>
      <c r="F34">
        <v>90</v>
      </c>
      <c r="H34">
        <v>90000000</v>
      </c>
    </row>
    <row r="40" spans="1:8" x14ac:dyDescent="0.25">
      <c r="B40" t="s">
        <v>261</v>
      </c>
    </row>
    <row r="41" spans="1:8" x14ac:dyDescent="0.25">
      <c r="A41" t="s">
        <v>262</v>
      </c>
      <c r="B41">
        <f>H34</f>
        <v>90000000</v>
      </c>
    </row>
    <row r="42" spans="1:8" x14ac:dyDescent="0.25">
      <c r="A42" t="str">
        <f>A3</f>
        <v>Gigafactory 1</v>
      </c>
      <c r="B42">
        <f>D3/(C3*10)</f>
        <v>10000000</v>
      </c>
    </row>
    <row r="43" spans="1:8" x14ac:dyDescent="0.25">
      <c r="A43" t="str">
        <f>A4</f>
        <v>Northvolt</v>
      </c>
      <c r="B43">
        <f>D4/(C4*10)</f>
        <v>15000000</v>
      </c>
    </row>
    <row r="44" spans="1:8" x14ac:dyDescent="0.25">
      <c r="A44" t="str">
        <f>A5</f>
        <v>LG Chem Wroclaw</v>
      </c>
      <c r="B44">
        <f>D5/(C5*10)</f>
        <v>4307692.307692308</v>
      </c>
    </row>
    <row r="45" spans="1:8" x14ac:dyDescent="0.25">
      <c r="A45" t="str">
        <f>A6</f>
        <v>Imperium3 Townsville</v>
      </c>
      <c r="B45">
        <f>D6/(C6*10)</f>
        <v>10666666.666666666</v>
      </c>
    </row>
    <row r="46" spans="1:8" x14ac:dyDescent="0.25">
      <c r="A46" t="str">
        <f>A7</f>
        <v>Study on CAPEX</v>
      </c>
      <c r="B46">
        <f>D7/(C7*10)</f>
        <v>9200000</v>
      </c>
    </row>
    <row r="50" spans="1:46" x14ac:dyDescent="0.25">
      <c r="B50" t="s">
        <v>269</v>
      </c>
    </row>
    <row r="53" spans="1:46" x14ac:dyDescent="0.25">
      <c r="B53" s="1">
        <v>2016</v>
      </c>
      <c r="C53" s="1">
        <f>B53+1</f>
        <v>2017</v>
      </c>
      <c r="D53" s="1">
        <f t="shared" ref="D53:AJ53" si="1">C53+1</f>
        <v>2018</v>
      </c>
      <c r="E53" s="1">
        <f t="shared" si="1"/>
        <v>2019</v>
      </c>
      <c r="F53" s="1">
        <f t="shared" si="1"/>
        <v>2020</v>
      </c>
      <c r="G53" s="1">
        <f t="shared" si="1"/>
        <v>2021</v>
      </c>
      <c r="H53" s="1">
        <f t="shared" si="1"/>
        <v>2022</v>
      </c>
      <c r="I53" s="1">
        <f t="shared" si="1"/>
        <v>2023</v>
      </c>
      <c r="J53" s="1">
        <f t="shared" si="1"/>
        <v>2024</v>
      </c>
      <c r="K53" s="1">
        <f t="shared" si="1"/>
        <v>2025</v>
      </c>
      <c r="L53" s="1">
        <f>K53+1</f>
        <v>2026</v>
      </c>
      <c r="M53" s="1">
        <f t="shared" si="1"/>
        <v>2027</v>
      </c>
      <c r="N53" s="1">
        <f t="shared" si="1"/>
        <v>2028</v>
      </c>
      <c r="O53" s="1">
        <f>N53+1</f>
        <v>2029</v>
      </c>
      <c r="P53" s="1">
        <f t="shared" si="1"/>
        <v>2030</v>
      </c>
      <c r="Q53" s="1">
        <f t="shared" si="1"/>
        <v>2031</v>
      </c>
      <c r="R53" s="1">
        <f t="shared" si="1"/>
        <v>2032</v>
      </c>
      <c r="S53" s="1">
        <f t="shared" si="1"/>
        <v>2033</v>
      </c>
      <c r="T53" s="1">
        <f t="shared" si="1"/>
        <v>2034</v>
      </c>
      <c r="U53" s="1">
        <f t="shared" si="1"/>
        <v>2035</v>
      </c>
      <c r="V53" s="1">
        <f t="shared" si="1"/>
        <v>2036</v>
      </c>
      <c r="W53" s="1">
        <f t="shared" si="1"/>
        <v>2037</v>
      </c>
      <c r="X53" s="1">
        <f t="shared" si="1"/>
        <v>2038</v>
      </c>
      <c r="Y53" s="1">
        <f t="shared" si="1"/>
        <v>2039</v>
      </c>
      <c r="Z53" s="1">
        <f t="shared" si="1"/>
        <v>2040</v>
      </c>
      <c r="AA53" s="1">
        <f t="shared" si="1"/>
        <v>2041</v>
      </c>
      <c r="AB53" s="1">
        <f t="shared" si="1"/>
        <v>2042</v>
      </c>
      <c r="AC53" s="1">
        <f t="shared" si="1"/>
        <v>2043</v>
      </c>
      <c r="AD53" s="1">
        <f t="shared" si="1"/>
        <v>2044</v>
      </c>
      <c r="AE53" s="1">
        <f t="shared" si="1"/>
        <v>2045</v>
      </c>
      <c r="AF53" s="1">
        <f t="shared" si="1"/>
        <v>2046</v>
      </c>
      <c r="AG53" s="1">
        <f t="shared" si="1"/>
        <v>2047</v>
      </c>
      <c r="AH53" s="1">
        <f t="shared" si="1"/>
        <v>2048</v>
      </c>
      <c r="AI53" s="1">
        <f t="shared" si="1"/>
        <v>2049</v>
      </c>
      <c r="AJ53" s="1">
        <f t="shared" si="1"/>
        <v>2050</v>
      </c>
      <c r="AK53" s="1">
        <f t="shared" ref="AK53:AR53" si="2">AJ53+1</f>
        <v>2051</v>
      </c>
      <c r="AL53" s="1">
        <f t="shared" si="2"/>
        <v>2052</v>
      </c>
      <c r="AM53" s="1">
        <f t="shared" si="2"/>
        <v>2053</v>
      </c>
      <c r="AN53" s="1">
        <f t="shared" si="2"/>
        <v>2054</v>
      </c>
      <c r="AO53" s="1">
        <f t="shared" si="2"/>
        <v>2055</v>
      </c>
      <c r="AP53" s="1">
        <f t="shared" si="2"/>
        <v>2056</v>
      </c>
      <c r="AQ53" s="1">
        <f t="shared" si="2"/>
        <v>2057</v>
      </c>
      <c r="AR53" s="1">
        <f t="shared" si="2"/>
        <v>2058</v>
      </c>
      <c r="AS53" s="1">
        <f t="shared" ref="AS53:AT53" si="3">AR53+1</f>
        <v>2059</v>
      </c>
      <c r="AT53" s="1">
        <f t="shared" si="3"/>
        <v>2060</v>
      </c>
    </row>
    <row r="54" spans="1:46" x14ac:dyDescent="0.25">
      <c r="B54">
        <v>281</v>
      </c>
      <c r="C54">
        <v>214</v>
      </c>
      <c r="D54">
        <v>173</v>
      </c>
      <c r="E54">
        <v>155</v>
      </c>
      <c r="F54">
        <v>140</v>
      </c>
      <c r="G54">
        <v>120</v>
      </c>
      <c r="H54">
        <v>113</v>
      </c>
      <c r="I54">
        <v>102</v>
      </c>
      <c r="J54">
        <v>92</v>
      </c>
      <c r="K54">
        <v>85</v>
      </c>
      <c r="L54">
        <v>79</v>
      </c>
      <c r="M54">
        <v>73</v>
      </c>
      <c r="N54">
        <v>68</v>
      </c>
      <c r="O54">
        <v>64</v>
      </c>
      <c r="P54">
        <v>58.5</v>
      </c>
      <c r="Z54">
        <f>P54/$P$57</f>
        <v>24.444642857142856</v>
      </c>
      <c r="AA54">
        <f>Z54</f>
        <v>24.444642857142856</v>
      </c>
      <c r="AB54">
        <f t="shared" ref="AB54:AT54" si="4">AA54</f>
        <v>24.444642857142856</v>
      </c>
      <c r="AC54">
        <f t="shared" si="4"/>
        <v>24.444642857142856</v>
      </c>
      <c r="AD54">
        <f t="shared" si="4"/>
        <v>24.444642857142856</v>
      </c>
      <c r="AE54">
        <f t="shared" si="4"/>
        <v>24.444642857142856</v>
      </c>
      <c r="AF54">
        <f t="shared" si="4"/>
        <v>24.444642857142856</v>
      </c>
      <c r="AG54">
        <f t="shared" si="4"/>
        <v>24.444642857142856</v>
      </c>
      <c r="AH54">
        <f t="shared" si="4"/>
        <v>24.444642857142856</v>
      </c>
      <c r="AI54">
        <f t="shared" si="4"/>
        <v>24.444642857142856</v>
      </c>
      <c r="AJ54">
        <f t="shared" si="4"/>
        <v>24.444642857142856</v>
      </c>
      <c r="AK54">
        <f t="shared" si="4"/>
        <v>24.444642857142856</v>
      </c>
      <c r="AL54">
        <f t="shared" si="4"/>
        <v>24.444642857142856</v>
      </c>
      <c r="AM54">
        <f t="shared" si="4"/>
        <v>24.444642857142856</v>
      </c>
      <c r="AN54">
        <f t="shared" si="4"/>
        <v>24.444642857142856</v>
      </c>
      <c r="AO54">
        <f t="shared" si="4"/>
        <v>24.444642857142856</v>
      </c>
      <c r="AP54">
        <f t="shared" si="4"/>
        <v>24.444642857142856</v>
      </c>
      <c r="AQ54">
        <f t="shared" si="4"/>
        <v>24.444642857142856</v>
      </c>
      <c r="AR54">
        <f t="shared" si="4"/>
        <v>24.444642857142856</v>
      </c>
      <c r="AS54">
        <f t="shared" si="4"/>
        <v>24.444642857142856</v>
      </c>
      <c r="AT54">
        <f t="shared" si="4"/>
        <v>24.444642857142856</v>
      </c>
    </row>
    <row r="56" spans="1:46" x14ac:dyDescent="0.25">
      <c r="D56" t="s">
        <v>295</v>
      </c>
      <c r="E56">
        <f>H34/1000000</f>
        <v>90</v>
      </c>
    </row>
    <row r="57" spans="1:46" x14ac:dyDescent="0.25">
      <c r="P57">
        <f>F54/P54</f>
        <v>2.3931623931623931</v>
      </c>
    </row>
    <row r="58" spans="1:46" x14ac:dyDescent="0.25">
      <c r="D58" t="s">
        <v>296</v>
      </c>
      <c r="E58">
        <v>120</v>
      </c>
    </row>
    <row r="61" spans="1:46" x14ac:dyDescent="0.25">
      <c r="A61" s="1" t="s">
        <v>270</v>
      </c>
      <c r="U61">
        <f>(40000*1000)/(223.5*1000000)</f>
        <v>0.17897091722595079</v>
      </c>
    </row>
    <row r="63" spans="1:46" x14ac:dyDescent="0.25">
      <c r="D63" t="s">
        <v>271</v>
      </c>
      <c r="E63" t="s">
        <v>272</v>
      </c>
      <c r="F63" t="s">
        <v>282</v>
      </c>
      <c r="I63" t="s">
        <v>281</v>
      </c>
    </row>
    <row r="65" spans="1:24" x14ac:dyDescent="0.25">
      <c r="A65" s="1" t="s">
        <v>283</v>
      </c>
      <c r="C65" t="s">
        <v>213</v>
      </c>
      <c r="D65">
        <v>275</v>
      </c>
      <c r="E65">
        <v>5</v>
      </c>
      <c r="F65">
        <v>2023</v>
      </c>
      <c r="I65" s="53">
        <f t="shared" ref="I65:I70" si="5">D65/E65</f>
        <v>55</v>
      </c>
    </row>
    <row r="66" spans="1:24" x14ac:dyDescent="0.25">
      <c r="C66" t="s">
        <v>274</v>
      </c>
      <c r="D66">
        <v>310</v>
      </c>
      <c r="E66">
        <v>8</v>
      </c>
      <c r="F66">
        <v>2024</v>
      </c>
      <c r="I66" s="53">
        <f t="shared" si="5"/>
        <v>38.75</v>
      </c>
    </row>
    <row r="67" spans="1:24" x14ac:dyDescent="0.25">
      <c r="C67" t="s">
        <v>276</v>
      </c>
      <c r="D67">
        <v>380</v>
      </c>
      <c r="E67">
        <v>11</v>
      </c>
      <c r="F67">
        <v>2025</v>
      </c>
      <c r="I67" s="53">
        <f t="shared" si="5"/>
        <v>34.545454545454547</v>
      </c>
    </row>
    <row r="68" spans="1:24" x14ac:dyDescent="0.25">
      <c r="C68" t="s">
        <v>277</v>
      </c>
      <c r="D68">
        <v>380</v>
      </c>
      <c r="E68">
        <v>11</v>
      </c>
      <c r="F68">
        <v>2025</v>
      </c>
      <c r="I68" s="53">
        <f t="shared" si="5"/>
        <v>34.545454545454547</v>
      </c>
    </row>
    <row r="69" spans="1:24" x14ac:dyDescent="0.25">
      <c r="C69" t="s">
        <v>278</v>
      </c>
      <c r="D69">
        <v>775</v>
      </c>
      <c r="E69">
        <v>16</v>
      </c>
      <c r="F69">
        <v>2026</v>
      </c>
      <c r="I69" s="53">
        <f t="shared" si="5"/>
        <v>48.4375</v>
      </c>
    </row>
    <row r="70" spans="1:24" x14ac:dyDescent="0.25">
      <c r="C70" t="s">
        <v>280</v>
      </c>
      <c r="D70">
        <v>775</v>
      </c>
      <c r="E70">
        <v>16</v>
      </c>
      <c r="F70">
        <v>2028</v>
      </c>
      <c r="I70" s="53">
        <f t="shared" si="5"/>
        <v>48.4375</v>
      </c>
    </row>
    <row r="74" spans="1:24" x14ac:dyDescent="0.25">
      <c r="C74" t="s">
        <v>275</v>
      </c>
      <c r="D74">
        <v>565</v>
      </c>
      <c r="E74">
        <v>9</v>
      </c>
      <c r="F74">
        <v>2024</v>
      </c>
      <c r="I74" s="53">
        <f>D74/E74</f>
        <v>62.777777777777779</v>
      </c>
    </row>
    <row r="76" spans="1:24" x14ac:dyDescent="0.25">
      <c r="C76" t="s">
        <v>279</v>
      </c>
      <c r="D76">
        <v>565</v>
      </c>
      <c r="E76">
        <v>8</v>
      </c>
      <c r="F76">
        <v>2027</v>
      </c>
      <c r="I76" s="53">
        <f>D76/E76</f>
        <v>70.625</v>
      </c>
    </row>
    <row r="78" spans="1:24" x14ac:dyDescent="0.25">
      <c r="C78" t="s">
        <v>273</v>
      </c>
      <c r="D78">
        <v>35</v>
      </c>
      <c r="E78">
        <v>0.2</v>
      </c>
      <c r="F78">
        <v>2022</v>
      </c>
      <c r="I78" s="53">
        <f>D78/E78</f>
        <v>175</v>
      </c>
    </row>
    <row r="79" spans="1:24" x14ac:dyDescent="0.25">
      <c r="M79" s="1" t="s">
        <v>291</v>
      </c>
      <c r="V79" s="1" t="s">
        <v>293</v>
      </c>
      <c r="X79" t="s">
        <v>294</v>
      </c>
    </row>
    <row r="80" spans="1:24" x14ac:dyDescent="0.25">
      <c r="M80" t="s">
        <v>287</v>
      </c>
      <c r="N80" t="s">
        <v>288</v>
      </c>
      <c r="O80" t="s">
        <v>289</v>
      </c>
      <c r="P80" t="s">
        <v>290</v>
      </c>
      <c r="R80" s="1" t="s">
        <v>292</v>
      </c>
      <c r="T80" s="1" t="s">
        <v>291</v>
      </c>
    </row>
    <row r="81" spans="1:28" x14ac:dyDescent="0.25">
      <c r="A81" s="1" t="s">
        <v>285</v>
      </c>
      <c r="C81" t="s">
        <v>286</v>
      </c>
      <c r="D81">
        <v>3822</v>
      </c>
      <c r="E81">
        <v>32</v>
      </c>
      <c r="I81">
        <f>D81/E81</f>
        <v>119.4375</v>
      </c>
      <c r="M81">
        <v>161</v>
      </c>
      <c r="N81">
        <v>126</v>
      </c>
      <c r="O81">
        <v>143</v>
      </c>
      <c r="P81">
        <v>2777</v>
      </c>
      <c r="R81">
        <f>SUM(M81:P81)</f>
        <v>3207</v>
      </c>
      <c r="T81">
        <f>R81/32</f>
        <v>100.21875</v>
      </c>
      <c r="V81">
        <v>2526</v>
      </c>
      <c r="X81">
        <f>V81/32</f>
        <v>78.9375</v>
      </c>
    </row>
    <row r="83" spans="1:28" x14ac:dyDescent="0.25">
      <c r="U83" t="s">
        <v>284</v>
      </c>
      <c r="V83">
        <v>7000</v>
      </c>
      <c r="X83">
        <f>V83/35</f>
        <v>200</v>
      </c>
    </row>
    <row r="84" spans="1:28" x14ac:dyDescent="0.25">
      <c r="Z84">
        <f>MEDIAN(X83,X85)</f>
        <v>155.55555555555554</v>
      </c>
    </row>
    <row r="85" spans="1:28" x14ac:dyDescent="0.25">
      <c r="U85" t="s">
        <v>297</v>
      </c>
      <c r="V85">
        <v>2000</v>
      </c>
      <c r="X85">
        <f>V85/18</f>
        <v>111.11111111111111</v>
      </c>
    </row>
    <row r="87" spans="1:28" x14ac:dyDescent="0.25">
      <c r="T87" t="s">
        <v>303</v>
      </c>
      <c r="U87" t="s">
        <v>305</v>
      </c>
      <c r="V87">
        <v>26000</v>
      </c>
      <c r="X87">
        <f>V87/U88</f>
        <v>200</v>
      </c>
      <c r="AB87" t="s">
        <v>304</v>
      </c>
    </row>
    <row r="88" spans="1:28" x14ac:dyDescent="0.25">
      <c r="T88" t="s">
        <v>306</v>
      </c>
      <c r="U88">
        <v>130</v>
      </c>
    </row>
    <row r="90" spans="1:28" x14ac:dyDescent="0.25">
      <c r="T90" t="s">
        <v>307</v>
      </c>
      <c r="V90">
        <v>2500</v>
      </c>
      <c r="X90">
        <f>V90/32</f>
        <v>78.125</v>
      </c>
    </row>
    <row r="91" spans="1:28" x14ac:dyDescent="0.25">
      <c r="T91" t="s">
        <v>308</v>
      </c>
    </row>
    <row r="92" spans="1:28" x14ac:dyDescent="0.25">
      <c r="T92" t="s">
        <v>309</v>
      </c>
      <c r="V92">
        <v>1300</v>
      </c>
      <c r="X92">
        <f>V92/13</f>
        <v>100</v>
      </c>
    </row>
    <row r="93" spans="1:28" x14ac:dyDescent="0.25">
      <c r="T93" t="s">
        <v>310</v>
      </c>
      <c r="V93">
        <v>500</v>
      </c>
      <c r="X93">
        <f>V93/2.5</f>
        <v>200</v>
      </c>
    </row>
    <row r="94" spans="1:28" x14ac:dyDescent="0.25">
      <c r="T94" t="s">
        <v>217</v>
      </c>
      <c r="V94">
        <v>3000</v>
      </c>
      <c r="X94">
        <f>3000/32</f>
        <v>93.75</v>
      </c>
    </row>
    <row r="95" spans="1:28" x14ac:dyDescent="0.25">
      <c r="T95" t="s">
        <v>311</v>
      </c>
      <c r="V95">
        <v>400</v>
      </c>
      <c r="X95">
        <f>V95/8</f>
        <v>50</v>
      </c>
    </row>
    <row r="96" spans="1:28" x14ac:dyDescent="0.25">
      <c r="T96" t="s">
        <v>312</v>
      </c>
      <c r="V96">
        <v>2000</v>
      </c>
      <c r="X96">
        <f>V96/15</f>
        <v>133.33333333333334</v>
      </c>
    </row>
    <row r="97" spans="20:24" x14ac:dyDescent="0.25">
      <c r="T97" t="s">
        <v>313</v>
      </c>
      <c r="V97">
        <v>9000</v>
      </c>
      <c r="X97">
        <f>V97/150</f>
        <v>60</v>
      </c>
    </row>
    <row r="99" spans="20:24" x14ac:dyDescent="0.25">
      <c r="X99">
        <f>AVERAGE(X81:X97)</f>
        <v>118.65972222222221</v>
      </c>
    </row>
  </sheetData>
  <hyperlinks>
    <hyperlink ref="J17" r:id="rId1" xr:uid="{00000000-0004-0000-0600-000000000000}"/>
    <hyperlink ref="J18" r:id="rId2" xr:uid="{00000000-0004-0000-0600-000001000000}"/>
    <hyperlink ref="J19" r:id="rId3" xr:uid="{00000000-0004-0000-0600-000002000000}"/>
    <hyperlink ref="J20" r:id="rId4" xr:uid="{00000000-0004-0000-0600-000003000000}"/>
    <hyperlink ref="F7" r:id="rId5" xr:uid="{00000000-0004-0000-0600-000004000000}"/>
  </hyperlinks>
  <pageMargins left="0.7" right="0.7" top="0.75" bottom="0.75" header="0.3" footer="0.3"/>
  <pageSetup orientation="portrait" r:id="rId6"/>
  <drawing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24"/>
  <sheetViews>
    <sheetView zoomScale="57" zoomScaleNormal="40" workbookViewId="0">
      <selection activeCell="Q9" sqref="Q9"/>
    </sheetView>
  </sheetViews>
  <sheetFormatPr defaultRowHeight="15" x14ac:dyDescent="0.25"/>
  <sheetData>
    <row r="1" spans="1:42" x14ac:dyDescent="0.25">
      <c r="A1" t="s">
        <v>302</v>
      </c>
    </row>
    <row r="2" spans="1:42" x14ac:dyDescent="0.25">
      <c r="A2" t="s">
        <v>300</v>
      </c>
      <c r="B2">
        <v>2020</v>
      </c>
      <c r="C2">
        <v>2021</v>
      </c>
      <c r="D2">
        <f>C2+1</f>
        <v>2022</v>
      </c>
      <c r="E2">
        <f t="shared" ref="E2:R2" si="0">D2+1</f>
        <v>2023</v>
      </c>
      <c r="F2">
        <f t="shared" si="0"/>
        <v>2024</v>
      </c>
      <c r="G2">
        <f t="shared" si="0"/>
        <v>2025</v>
      </c>
      <c r="H2">
        <f t="shared" si="0"/>
        <v>2026</v>
      </c>
      <c r="I2">
        <f t="shared" si="0"/>
        <v>2027</v>
      </c>
      <c r="J2">
        <f t="shared" si="0"/>
        <v>2028</v>
      </c>
      <c r="K2">
        <f t="shared" si="0"/>
        <v>2029</v>
      </c>
      <c r="L2">
        <f t="shared" si="0"/>
        <v>2030</v>
      </c>
      <c r="M2">
        <f t="shared" si="0"/>
        <v>2031</v>
      </c>
      <c r="N2">
        <f>M2+1</f>
        <v>2032</v>
      </c>
      <c r="O2">
        <f t="shared" si="0"/>
        <v>2033</v>
      </c>
      <c r="P2">
        <f t="shared" si="0"/>
        <v>2034</v>
      </c>
      <c r="Q2">
        <f>P2+1</f>
        <v>2035</v>
      </c>
      <c r="R2">
        <f t="shared" si="0"/>
        <v>2036</v>
      </c>
      <c r="S2">
        <f>R2+1</f>
        <v>2037</v>
      </c>
      <c r="T2">
        <f t="shared" ref="T2:AO2" si="1">S2+1</f>
        <v>2038</v>
      </c>
      <c r="U2">
        <f t="shared" si="1"/>
        <v>2039</v>
      </c>
      <c r="V2">
        <f t="shared" si="1"/>
        <v>2040</v>
      </c>
      <c r="W2">
        <f t="shared" si="1"/>
        <v>2041</v>
      </c>
      <c r="X2">
        <f t="shared" si="1"/>
        <v>2042</v>
      </c>
      <c r="Y2">
        <f t="shared" si="1"/>
        <v>2043</v>
      </c>
      <c r="Z2">
        <f t="shared" si="1"/>
        <v>2044</v>
      </c>
      <c r="AA2">
        <f t="shared" si="1"/>
        <v>2045</v>
      </c>
      <c r="AB2">
        <f t="shared" si="1"/>
        <v>2046</v>
      </c>
      <c r="AC2">
        <f>AB2+1</f>
        <v>2047</v>
      </c>
      <c r="AD2">
        <f t="shared" si="1"/>
        <v>2048</v>
      </c>
      <c r="AE2">
        <f t="shared" si="1"/>
        <v>2049</v>
      </c>
      <c r="AF2">
        <f t="shared" si="1"/>
        <v>2050</v>
      </c>
      <c r="AG2">
        <f>AF2+1</f>
        <v>2051</v>
      </c>
      <c r="AH2">
        <f t="shared" si="1"/>
        <v>2052</v>
      </c>
      <c r="AI2">
        <f t="shared" si="1"/>
        <v>2053</v>
      </c>
      <c r="AJ2">
        <f t="shared" si="1"/>
        <v>2054</v>
      </c>
      <c r="AK2">
        <f t="shared" si="1"/>
        <v>2055</v>
      </c>
      <c r="AL2">
        <f t="shared" si="1"/>
        <v>2056</v>
      </c>
      <c r="AM2">
        <f t="shared" si="1"/>
        <v>2057</v>
      </c>
      <c r="AN2">
        <f t="shared" si="1"/>
        <v>2058</v>
      </c>
      <c r="AO2">
        <f t="shared" si="1"/>
        <v>2059</v>
      </c>
      <c r="AP2">
        <f>AO2+1</f>
        <v>2060</v>
      </c>
    </row>
    <row r="3" spans="1:42" x14ac:dyDescent="0.25">
      <c r="B3">
        <v>120</v>
      </c>
      <c r="C3">
        <f>B3</f>
        <v>120</v>
      </c>
      <c r="D3">
        <f t="shared" ref="D3:AP3" si="2">C3</f>
        <v>120</v>
      </c>
      <c r="E3">
        <f t="shared" si="2"/>
        <v>120</v>
      </c>
      <c r="F3">
        <f t="shared" si="2"/>
        <v>120</v>
      </c>
      <c r="G3">
        <f t="shared" si="2"/>
        <v>120</v>
      </c>
      <c r="H3">
        <f t="shared" si="2"/>
        <v>120</v>
      </c>
      <c r="I3">
        <f t="shared" si="2"/>
        <v>120</v>
      </c>
      <c r="J3">
        <f t="shared" si="2"/>
        <v>120</v>
      </c>
      <c r="K3">
        <f t="shared" si="2"/>
        <v>120</v>
      </c>
      <c r="L3">
        <f t="shared" si="2"/>
        <v>120</v>
      </c>
      <c r="M3">
        <f t="shared" si="2"/>
        <v>120</v>
      </c>
      <c r="N3">
        <f t="shared" si="2"/>
        <v>120</v>
      </c>
      <c r="O3">
        <f t="shared" si="2"/>
        <v>120</v>
      </c>
      <c r="P3">
        <f t="shared" si="2"/>
        <v>120</v>
      </c>
      <c r="Q3">
        <f t="shared" si="2"/>
        <v>120</v>
      </c>
      <c r="R3">
        <f t="shared" si="2"/>
        <v>120</v>
      </c>
      <c r="S3">
        <f t="shared" si="2"/>
        <v>120</v>
      </c>
      <c r="T3">
        <f t="shared" si="2"/>
        <v>120</v>
      </c>
      <c r="U3">
        <f t="shared" si="2"/>
        <v>120</v>
      </c>
      <c r="V3">
        <f t="shared" si="2"/>
        <v>120</v>
      </c>
      <c r="W3">
        <f t="shared" si="2"/>
        <v>120</v>
      </c>
      <c r="X3">
        <f t="shared" si="2"/>
        <v>120</v>
      </c>
      <c r="Y3">
        <f t="shared" si="2"/>
        <v>120</v>
      </c>
      <c r="Z3">
        <f t="shared" si="2"/>
        <v>120</v>
      </c>
      <c r="AA3">
        <f t="shared" si="2"/>
        <v>120</v>
      </c>
      <c r="AB3">
        <f t="shared" si="2"/>
        <v>120</v>
      </c>
      <c r="AC3">
        <f t="shared" si="2"/>
        <v>120</v>
      </c>
      <c r="AD3">
        <f t="shared" si="2"/>
        <v>120</v>
      </c>
      <c r="AE3">
        <f t="shared" si="2"/>
        <v>120</v>
      </c>
      <c r="AF3">
        <f t="shared" si="2"/>
        <v>120</v>
      </c>
      <c r="AG3">
        <f t="shared" si="2"/>
        <v>120</v>
      </c>
      <c r="AH3">
        <f t="shared" si="2"/>
        <v>120</v>
      </c>
      <c r="AI3">
        <f t="shared" si="2"/>
        <v>120</v>
      </c>
      <c r="AJ3">
        <f t="shared" si="2"/>
        <v>120</v>
      </c>
      <c r="AK3">
        <f t="shared" si="2"/>
        <v>120</v>
      </c>
      <c r="AL3">
        <f t="shared" si="2"/>
        <v>120</v>
      </c>
      <c r="AM3">
        <f t="shared" si="2"/>
        <v>120</v>
      </c>
      <c r="AN3">
        <f t="shared" si="2"/>
        <v>120</v>
      </c>
      <c r="AO3">
        <f t="shared" si="2"/>
        <v>120</v>
      </c>
      <c r="AP3">
        <f t="shared" si="2"/>
        <v>120</v>
      </c>
    </row>
    <row r="8" spans="1:42" x14ac:dyDescent="0.25">
      <c r="A8" t="s">
        <v>299</v>
      </c>
      <c r="B8">
        <v>2020</v>
      </c>
      <c r="C8">
        <v>2021</v>
      </c>
      <c r="D8">
        <f>C8+1</f>
        <v>2022</v>
      </c>
      <c r="E8">
        <f t="shared" ref="E8:R8" si="3">D8+1</f>
        <v>2023</v>
      </c>
      <c r="F8">
        <f t="shared" si="3"/>
        <v>2024</v>
      </c>
      <c r="G8">
        <f t="shared" si="3"/>
        <v>2025</v>
      </c>
      <c r="H8">
        <f t="shared" si="3"/>
        <v>2026</v>
      </c>
      <c r="I8">
        <f t="shared" si="3"/>
        <v>2027</v>
      </c>
      <c r="J8">
        <f t="shared" si="3"/>
        <v>2028</v>
      </c>
      <c r="K8">
        <f t="shared" si="3"/>
        <v>2029</v>
      </c>
      <c r="L8">
        <f t="shared" si="3"/>
        <v>2030</v>
      </c>
      <c r="M8">
        <f t="shared" si="3"/>
        <v>2031</v>
      </c>
      <c r="N8">
        <f>M8+1</f>
        <v>2032</v>
      </c>
      <c r="O8">
        <f t="shared" si="3"/>
        <v>2033</v>
      </c>
      <c r="P8">
        <f t="shared" si="3"/>
        <v>2034</v>
      </c>
      <c r="Q8">
        <f>P8+1</f>
        <v>2035</v>
      </c>
      <c r="R8">
        <f t="shared" si="3"/>
        <v>2036</v>
      </c>
      <c r="S8">
        <f>R8+1</f>
        <v>2037</v>
      </c>
      <c r="T8">
        <f t="shared" ref="T8:AO8" si="4">S8+1</f>
        <v>2038</v>
      </c>
      <c r="U8">
        <f t="shared" si="4"/>
        <v>2039</v>
      </c>
      <c r="V8">
        <f t="shared" si="4"/>
        <v>2040</v>
      </c>
      <c r="W8">
        <f t="shared" si="4"/>
        <v>2041</v>
      </c>
      <c r="X8">
        <f t="shared" si="4"/>
        <v>2042</v>
      </c>
      <c r="Y8">
        <f t="shared" si="4"/>
        <v>2043</v>
      </c>
      <c r="Z8">
        <f t="shared" si="4"/>
        <v>2044</v>
      </c>
      <c r="AA8">
        <f t="shared" si="4"/>
        <v>2045</v>
      </c>
      <c r="AB8">
        <f t="shared" si="4"/>
        <v>2046</v>
      </c>
      <c r="AC8">
        <f>AB8+1</f>
        <v>2047</v>
      </c>
      <c r="AD8">
        <f t="shared" si="4"/>
        <v>2048</v>
      </c>
      <c r="AE8">
        <f t="shared" si="4"/>
        <v>2049</v>
      </c>
      <c r="AF8">
        <f t="shared" si="4"/>
        <v>2050</v>
      </c>
      <c r="AG8">
        <f>AF8+1</f>
        <v>2051</v>
      </c>
      <c r="AH8">
        <f t="shared" si="4"/>
        <v>2052</v>
      </c>
      <c r="AI8">
        <f t="shared" si="4"/>
        <v>2053</v>
      </c>
      <c r="AJ8">
        <f t="shared" si="4"/>
        <v>2054</v>
      </c>
      <c r="AK8">
        <f t="shared" si="4"/>
        <v>2055</v>
      </c>
      <c r="AL8">
        <f t="shared" si="4"/>
        <v>2056</v>
      </c>
      <c r="AM8">
        <f t="shared" si="4"/>
        <v>2057</v>
      </c>
      <c r="AN8">
        <f t="shared" si="4"/>
        <v>2058</v>
      </c>
      <c r="AO8">
        <f t="shared" si="4"/>
        <v>2059</v>
      </c>
      <c r="AP8">
        <f>AO8+1</f>
        <v>2060</v>
      </c>
    </row>
    <row r="9" spans="1:42" x14ac:dyDescent="0.25">
      <c r="B9" s="21">
        <f>C9</f>
        <v>1.2E-2</v>
      </c>
      <c r="C9" s="19">
        <v>1.2E-2</v>
      </c>
      <c r="D9" s="19"/>
      <c r="E9" s="19">
        <v>0.05</v>
      </c>
      <c r="F9" s="19"/>
      <c r="G9" s="19">
        <v>0.12</v>
      </c>
      <c r="H9" s="19"/>
      <c r="I9" s="19">
        <v>0.19</v>
      </c>
      <c r="J9" s="19"/>
      <c r="K9" s="19">
        <v>0.23</v>
      </c>
      <c r="L9" s="19"/>
      <c r="M9" s="19">
        <v>0.28999999999999998</v>
      </c>
      <c r="N9" s="19"/>
      <c r="O9" s="19">
        <v>0.39</v>
      </c>
      <c r="P9" s="19"/>
      <c r="Q9" s="19">
        <v>0.438</v>
      </c>
      <c r="R9" s="19"/>
      <c r="S9" s="19">
        <v>0.45</v>
      </c>
      <c r="T9" s="21">
        <f>S9</f>
        <v>0.45</v>
      </c>
      <c r="U9" s="21">
        <f t="shared" ref="U9:AP9" si="5">T9</f>
        <v>0.45</v>
      </c>
      <c r="V9" s="21">
        <f t="shared" si="5"/>
        <v>0.45</v>
      </c>
      <c r="W9" s="21">
        <f t="shared" si="5"/>
        <v>0.45</v>
      </c>
      <c r="X9" s="21">
        <f t="shared" si="5"/>
        <v>0.45</v>
      </c>
      <c r="Y9" s="21">
        <f t="shared" si="5"/>
        <v>0.45</v>
      </c>
      <c r="Z9" s="21">
        <f t="shared" si="5"/>
        <v>0.45</v>
      </c>
      <c r="AA9" s="21">
        <f t="shared" si="5"/>
        <v>0.45</v>
      </c>
      <c r="AB9" s="21">
        <f t="shared" si="5"/>
        <v>0.45</v>
      </c>
      <c r="AC9" s="21">
        <f t="shared" si="5"/>
        <v>0.45</v>
      </c>
      <c r="AD9" s="21">
        <f t="shared" si="5"/>
        <v>0.45</v>
      </c>
      <c r="AE9" s="21">
        <f t="shared" si="5"/>
        <v>0.45</v>
      </c>
      <c r="AF9" s="21">
        <f t="shared" si="5"/>
        <v>0.45</v>
      </c>
      <c r="AG9" s="21">
        <f t="shared" si="5"/>
        <v>0.45</v>
      </c>
      <c r="AH9" s="21">
        <f t="shared" si="5"/>
        <v>0.45</v>
      </c>
      <c r="AI9" s="21">
        <f t="shared" si="5"/>
        <v>0.45</v>
      </c>
      <c r="AJ9" s="21">
        <f t="shared" si="5"/>
        <v>0.45</v>
      </c>
      <c r="AK9" s="21">
        <f t="shared" si="5"/>
        <v>0.45</v>
      </c>
      <c r="AL9" s="21">
        <f t="shared" si="5"/>
        <v>0.45</v>
      </c>
      <c r="AM9" s="21">
        <f t="shared" si="5"/>
        <v>0.45</v>
      </c>
      <c r="AN9" s="21">
        <f t="shared" si="5"/>
        <v>0.45</v>
      </c>
      <c r="AO9" s="21">
        <f t="shared" si="5"/>
        <v>0.45</v>
      </c>
      <c r="AP9" s="21">
        <f t="shared" si="5"/>
        <v>0.45</v>
      </c>
    </row>
    <row r="13" spans="1:42" x14ac:dyDescent="0.25">
      <c r="A13" t="s">
        <v>299</v>
      </c>
      <c r="B13">
        <v>2020</v>
      </c>
      <c r="C13">
        <v>2021</v>
      </c>
      <c r="D13">
        <v>2022</v>
      </c>
      <c r="E13">
        <v>2023</v>
      </c>
      <c r="F13">
        <v>2024</v>
      </c>
      <c r="G13">
        <v>2025</v>
      </c>
      <c r="H13">
        <v>2026</v>
      </c>
      <c r="I13">
        <v>2027</v>
      </c>
      <c r="J13">
        <v>2028</v>
      </c>
      <c r="K13">
        <v>2029</v>
      </c>
      <c r="L13">
        <v>2030</v>
      </c>
      <c r="M13">
        <v>2031</v>
      </c>
      <c r="N13">
        <v>2032</v>
      </c>
      <c r="O13">
        <v>2033</v>
      </c>
      <c r="P13">
        <v>2034</v>
      </c>
      <c r="Q13">
        <v>2035</v>
      </c>
      <c r="R13">
        <v>2036</v>
      </c>
      <c r="S13">
        <v>2037</v>
      </c>
      <c r="T13">
        <v>2038</v>
      </c>
      <c r="U13">
        <v>2039</v>
      </c>
      <c r="V13">
        <v>2040</v>
      </c>
      <c r="W13">
        <v>2041</v>
      </c>
      <c r="X13">
        <v>2042</v>
      </c>
      <c r="Y13">
        <v>2043</v>
      </c>
      <c r="Z13">
        <v>2044</v>
      </c>
      <c r="AA13">
        <v>2045</v>
      </c>
      <c r="AB13">
        <v>2046</v>
      </c>
      <c r="AC13">
        <v>2047</v>
      </c>
      <c r="AD13">
        <v>2048</v>
      </c>
      <c r="AE13">
        <v>2049</v>
      </c>
      <c r="AF13">
        <v>2050</v>
      </c>
      <c r="AG13">
        <v>2051</v>
      </c>
      <c r="AH13">
        <v>2052</v>
      </c>
      <c r="AI13">
        <v>2053</v>
      </c>
      <c r="AJ13">
        <v>2054</v>
      </c>
      <c r="AK13">
        <v>2055</v>
      </c>
      <c r="AL13">
        <v>2056</v>
      </c>
      <c r="AM13">
        <v>2057</v>
      </c>
      <c r="AN13">
        <v>2058</v>
      </c>
      <c r="AO13">
        <v>2059</v>
      </c>
      <c r="AP13">
        <v>2060</v>
      </c>
    </row>
    <row r="14" spans="1:42" x14ac:dyDescent="0.25">
      <c r="B14" s="21">
        <f>C14</f>
        <v>6.0000000000000001E-3</v>
      </c>
      <c r="C14" s="19">
        <f>C9*0.5</f>
        <v>6.0000000000000001E-3</v>
      </c>
      <c r="D14" s="19"/>
      <c r="E14" s="19">
        <f t="shared" ref="E14:AP14" si="6">E9*0.5</f>
        <v>2.5000000000000001E-2</v>
      </c>
      <c r="F14" s="19"/>
      <c r="G14" s="19">
        <f t="shared" si="6"/>
        <v>0.06</v>
      </c>
      <c r="H14" s="19"/>
      <c r="I14" s="19">
        <f t="shared" si="6"/>
        <v>9.5000000000000001E-2</v>
      </c>
      <c r="J14" s="19"/>
      <c r="K14" s="19">
        <f t="shared" si="6"/>
        <v>0.115</v>
      </c>
      <c r="L14" s="19"/>
      <c r="M14" s="19">
        <f t="shared" si="6"/>
        <v>0.14499999999999999</v>
      </c>
      <c r="N14" s="19"/>
      <c r="O14" s="19">
        <f t="shared" si="6"/>
        <v>0.19500000000000001</v>
      </c>
      <c r="P14" s="19"/>
      <c r="Q14" s="19">
        <f t="shared" si="6"/>
        <v>0.219</v>
      </c>
      <c r="R14" s="19"/>
      <c r="S14" s="19">
        <f t="shared" si="6"/>
        <v>0.22500000000000001</v>
      </c>
      <c r="T14" s="19">
        <f t="shared" si="6"/>
        <v>0.22500000000000001</v>
      </c>
      <c r="U14" s="19">
        <f t="shared" si="6"/>
        <v>0.22500000000000001</v>
      </c>
      <c r="V14" s="19">
        <f t="shared" si="6"/>
        <v>0.22500000000000001</v>
      </c>
      <c r="W14" s="19">
        <f t="shared" si="6"/>
        <v>0.22500000000000001</v>
      </c>
      <c r="X14" s="19">
        <f t="shared" si="6"/>
        <v>0.22500000000000001</v>
      </c>
      <c r="Y14" s="19">
        <f t="shared" si="6"/>
        <v>0.22500000000000001</v>
      </c>
      <c r="Z14" s="19">
        <f t="shared" si="6"/>
        <v>0.22500000000000001</v>
      </c>
      <c r="AA14" s="19">
        <f t="shared" si="6"/>
        <v>0.22500000000000001</v>
      </c>
      <c r="AB14" s="19">
        <f t="shared" si="6"/>
        <v>0.22500000000000001</v>
      </c>
      <c r="AC14" s="19">
        <f t="shared" si="6"/>
        <v>0.22500000000000001</v>
      </c>
      <c r="AD14" s="19">
        <f t="shared" si="6"/>
        <v>0.22500000000000001</v>
      </c>
      <c r="AE14" s="19">
        <f t="shared" si="6"/>
        <v>0.22500000000000001</v>
      </c>
      <c r="AF14" s="19">
        <f t="shared" si="6"/>
        <v>0.22500000000000001</v>
      </c>
      <c r="AG14" s="19">
        <f t="shared" si="6"/>
        <v>0.22500000000000001</v>
      </c>
      <c r="AH14" s="19">
        <f t="shared" si="6"/>
        <v>0.22500000000000001</v>
      </c>
      <c r="AI14" s="19">
        <f t="shared" si="6"/>
        <v>0.22500000000000001</v>
      </c>
      <c r="AJ14" s="19">
        <f t="shared" si="6"/>
        <v>0.22500000000000001</v>
      </c>
      <c r="AK14" s="19">
        <f t="shared" si="6"/>
        <v>0.22500000000000001</v>
      </c>
      <c r="AL14" s="19">
        <f t="shared" si="6"/>
        <v>0.22500000000000001</v>
      </c>
      <c r="AM14" s="19">
        <f t="shared" si="6"/>
        <v>0.22500000000000001</v>
      </c>
      <c r="AN14" s="19">
        <f t="shared" si="6"/>
        <v>0.22500000000000001</v>
      </c>
      <c r="AO14" s="19">
        <f t="shared" si="6"/>
        <v>0.22500000000000001</v>
      </c>
      <c r="AP14" s="19">
        <f t="shared" si="6"/>
        <v>0.22500000000000001</v>
      </c>
    </row>
    <row r="17" spans="1:42" x14ac:dyDescent="0.25">
      <c r="A17" s="92" t="s">
        <v>301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</row>
    <row r="18" spans="1:42" x14ac:dyDescent="0.25">
      <c r="A18" t="s">
        <v>299</v>
      </c>
      <c r="B18">
        <v>2020</v>
      </c>
      <c r="C18">
        <v>2021</v>
      </c>
      <c r="D18">
        <f>C18+1</f>
        <v>2022</v>
      </c>
      <c r="E18">
        <f t="shared" ref="E18:M18" si="7">D18+1</f>
        <v>2023</v>
      </c>
      <c r="F18">
        <f t="shared" si="7"/>
        <v>2024</v>
      </c>
      <c r="G18">
        <f t="shared" si="7"/>
        <v>2025</v>
      </c>
      <c r="H18">
        <f t="shared" si="7"/>
        <v>2026</v>
      </c>
      <c r="I18">
        <f t="shared" si="7"/>
        <v>2027</v>
      </c>
      <c r="J18">
        <f t="shared" si="7"/>
        <v>2028</v>
      </c>
      <c r="K18">
        <f t="shared" si="7"/>
        <v>2029</v>
      </c>
      <c r="L18">
        <f t="shared" si="7"/>
        <v>2030</v>
      </c>
      <c r="M18">
        <f t="shared" si="7"/>
        <v>2031</v>
      </c>
      <c r="N18">
        <f>M18+1</f>
        <v>2032</v>
      </c>
      <c r="O18">
        <f t="shared" ref="O18:P18" si="8">N18+1</f>
        <v>2033</v>
      </c>
      <c r="P18">
        <f t="shared" si="8"/>
        <v>2034</v>
      </c>
      <c r="Q18">
        <f>P18+1</f>
        <v>2035</v>
      </c>
      <c r="R18">
        <f t="shared" ref="R18" si="9">Q18+1</f>
        <v>2036</v>
      </c>
      <c r="S18">
        <f>R18+1</f>
        <v>2037</v>
      </c>
      <c r="T18">
        <f t="shared" ref="T18:AB18" si="10">S18+1</f>
        <v>2038</v>
      </c>
      <c r="U18">
        <f t="shared" si="10"/>
        <v>2039</v>
      </c>
      <c r="V18">
        <f t="shared" si="10"/>
        <v>2040</v>
      </c>
      <c r="W18">
        <f t="shared" si="10"/>
        <v>2041</v>
      </c>
      <c r="X18">
        <f t="shared" si="10"/>
        <v>2042</v>
      </c>
      <c r="Y18">
        <f t="shared" si="10"/>
        <v>2043</v>
      </c>
      <c r="Z18">
        <f t="shared" si="10"/>
        <v>2044</v>
      </c>
      <c r="AA18">
        <f t="shared" si="10"/>
        <v>2045</v>
      </c>
      <c r="AB18">
        <f t="shared" si="10"/>
        <v>2046</v>
      </c>
      <c r="AC18">
        <f>AB18+1</f>
        <v>2047</v>
      </c>
      <c r="AD18">
        <f t="shared" ref="AD18:AF18" si="11">AC18+1</f>
        <v>2048</v>
      </c>
      <c r="AE18">
        <f t="shared" si="11"/>
        <v>2049</v>
      </c>
      <c r="AF18">
        <f t="shared" si="11"/>
        <v>2050</v>
      </c>
      <c r="AG18">
        <f>AF18+1</f>
        <v>2051</v>
      </c>
      <c r="AH18">
        <f t="shared" ref="AH18:AO18" si="12">AG18+1</f>
        <v>2052</v>
      </c>
      <c r="AI18">
        <f t="shared" si="12"/>
        <v>2053</v>
      </c>
      <c r="AJ18">
        <f t="shared" si="12"/>
        <v>2054</v>
      </c>
      <c r="AK18">
        <f t="shared" si="12"/>
        <v>2055</v>
      </c>
      <c r="AL18">
        <f t="shared" si="12"/>
        <v>2056</v>
      </c>
      <c r="AM18">
        <f t="shared" si="12"/>
        <v>2057</v>
      </c>
      <c r="AN18">
        <f t="shared" si="12"/>
        <v>2058</v>
      </c>
      <c r="AO18">
        <f t="shared" si="12"/>
        <v>2059</v>
      </c>
      <c r="AP18">
        <f>AO18+1</f>
        <v>2060</v>
      </c>
    </row>
    <row r="19" spans="1:42" x14ac:dyDescent="0.25">
      <c r="B19" s="21">
        <f>C19</f>
        <v>0.98799999999999999</v>
      </c>
      <c r="C19" s="19">
        <f>1-C9</f>
        <v>0.98799999999999999</v>
      </c>
      <c r="D19" s="19"/>
      <c r="E19" s="19">
        <f t="shared" ref="E19:AP19" si="13">1-E9</f>
        <v>0.95</v>
      </c>
      <c r="F19" s="19"/>
      <c r="G19" s="19">
        <f t="shared" si="13"/>
        <v>0.88</v>
      </c>
      <c r="H19" s="19"/>
      <c r="I19" s="19">
        <f t="shared" si="13"/>
        <v>0.81</v>
      </c>
      <c r="J19" s="19"/>
      <c r="K19" s="19">
        <f t="shared" si="13"/>
        <v>0.77</v>
      </c>
      <c r="L19" s="19"/>
      <c r="M19" s="19">
        <f t="shared" si="13"/>
        <v>0.71</v>
      </c>
      <c r="N19" s="19"/>
      <c r="O19" s="19">
        <f t="shared" si="13"/>
        <v>0.61</v>
      </c>
      <c r="P19" s="19"/>
      <c r="Q19" s="19">
        <f t="shared" si="13"/>
        <v>0.56200000000000006</v>
      </c>
      <c r="R19" s="19"/>
      <c r="S19" s="19">
        <f t="shared" si="13"/>
        <v>0.55000000000000004</v>
      </c>
      <c r="T19" s="19">
        <f t="shared" si="13"/>
        <v>0.55000000000000004</v>
      </c>
      <c r="U19" s="19">
        <f t="shared" si="13"/>
        <v>0.55000000000000004</v>
      </c>
      <c r="V19" s="19">
        <f t="shared" si="13"/>
        <v>0.55000000000000004</v>
      </c>
      <c r="W19" s="19">
        <f t="shared" si="13"/>
        <v>0.55000000000000004</v>
      </c>
      <c r="X19" s="19">
        <f t="shared" si="13"/>
        <v>0.55000000000000004</v>
      </c>
      <c r="Y19" s="19">
        <f t="shared" si="13"/>
        <v>0.55000000000000004</v>
      </c>
      <c r="Z19" s="19">
        <f t="shared" si="13"/>
        <v>0.55000000000000004</v>
      </c>
      <c r="AA19" s="19">
        <f t="shared" si="13"/>
        <v>0.55000000000000004</v>
      </c>
      <c r="AB19" s="19">
        <f t="shared" si="13"/>
        <v>0.55000000000000004</v>
      </c>
      <c r="AC19" s="19">
        <f t="shared" si="13"/>
        <v>0.55000000000000004</v>
      </c>
      <c r="AD19" s="19">
        <f t="shared" si="13"/>
        <v>0.55000000000000004</v>
      </c>
      <c r="AE19" s="19">
        <f t="shared" si="13"/>
        <v>0.55000000000000004</v>
      </c>
      <c r="AF19" s="19">
        <f t="shared" si="13"/>
        <v>0.55000000000000004</v>
      </c>
      <c r="AG19" s="19">
        <f t="shared" si="13"/>
        <v>0.55000000000000004</v>
      </c>
      <c r="AH19" s="19">
        <f t="shared" si="13"/>
        <v>0.55000000000000004</v>
      </c>
      <c r="AI19" s="19">
        <f t="shared" si="13"/>
        <v>0.55000000000000004</v>
      </c>
      <c r="AJ19" s="19">
        <f t="shared" si="13"/>
        <v>0.55000000000000004</v>
      </c>
      <c r="AK19" s="19">
        <f t="shared" si="13"/>
        <v>0.55000000000000004</v>
      </c>
      <c r="AL19" s="19">
        <f t="shared" si="13"/>
        <v>0.55000000000000004</v>
      </c>
      <c r="AM19" s="19">
        <f t="shared" si="13"/>
        <v>0.55000000000000004</v>
      </c>
      <c r="AN19" s="19">
        <f t="shared" si="13"/>
        <v>0.55000000000000004</v>
      </c>
      <c r="AO19" s="19">
        <f t="shared" si="13"/>
        <v>0.55000000000000004</v>
      </c>
      <c r="AP19" s="19">
        <f t="shared" si="13"/>
        <v>0.55000000000000004</v>
      </c>
    </row>
    <row r="23" spans="1:42" x14ac:dyDescent="0.25">
      <c r="A23" t="s">
        <v>299</v>
      </c>
      <c r="B23">
        <v>2020</v>
      </c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2027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  <c r="R23">
        <v>2036</v>
      </c>
      <c r="S23">
        <v>2037</v>
      </c>
      <c r="T23">
        <v>2038</v>
      </c>
      <c r="U23">
        <v>2039</v>
      </c>
      <c r="V23">
        <v>2040</v>
      </c>
      <c r="W23">
        <v>2041</v>
      </c>
      <c r="X23">
        <v>2042</v>
      </c>
      <c r="Y23">
        <v>2043</v>
      </c>
      <c r="Z23">
        <v>2044</v>
      </c>
      <c r="AA23">
        <v>2045</v>
      </c>
      <c r="AB23">
        <v>2046</v>
      </c>
      <c r="AC23">
        <v>2047</v>
      </c>
      <c r="AD23">
        <v>2048</v>
      </c>
      <c r="AE23">
        <v>2049</v>
      </c>
      <c r="AF23">
        <v>2050</v>
      </c>
      <c r="AG23">
        <v>2051</v>
      </c>
      <c r="AH23">
        <v>2052</v>
      </c>
      <c r="AI23">
        <v>2053</v>
      </c>
      <c r="AJ23">
        <v>2054</v>
      </c>
      <c r="AK23">
        <v>2055</v>
      </c>
      <c r="AL23">
        <v>2056</v>
      </c>
      <c r="AM23">
        <v>2057</v>
      </c>
      <c r="AN23">
        <v>2058</v>
      </c>
      <c r="AO23">
        <v>2059</v>
      </c>
      <c r="AP23">
        <v>2060</v>
      </c>
    </row>
    <row r="24" spans="1:42" x14ac:dyDescent="0.25">
      <c r="B24" s="21">
        <f>1-B14</f>
        <v>0.99399999999999999</v>
      </c>
      <c r="C24" s="21">
        <f t="shared" ref="C24:AP24" si="14">1-C14</f>
        <v>0.99399999999999999</v>
      </c>
      <c r="D24" s="21"/>
      <c r="E24" s="21">
        <f t="shared" si="14"/>
        <v>0.97499999999999998</v>
      </c>
      <c r="F24" s="21"/>
      <c r="G24" s="21">
        <f t="shared" si="14"/>
        <v>0.94</v>
      </c>
      <c r="H24" s="21"/>
      <c r="I24" s="21">
        <f t="shared" si="14"/>
        <v>0.90500000000000003</v>
      </c>
      <c r="J24" s="21"/>
      <c r="K24" s="21">
        <f t="shared" si="14"/>
        <v>0.88500000000000001</v>
      </c>
      <c r="L24" s="21"/>
      <c r="M24" s="21">
        <f t="shared" si="14"/>
        <v>0.85499999999999998</v>
      </c>
      <c r="N24" s="21"/>
      <c r="O24" s="21">
        <f t="shared" si="14"/>
        <v>0.80499999999999994</v>
      </c>
      <c r="P24" s="21"/>
      <c r="Q24" s="21">
        <f t="shared" si="14"/>
        <v>0.78100000000000003</v>
      </c>
      <c r="R24" s="21"/>
      <c r="S24" s="21">
        <f t="shared" si="14"/>
        <v>0.77500000000000002</v>
      </c>
      <c r="T24" s="21">
        <f t="shared" si="14"/>
        <v>0.77500000000000002</v>
      </c>
      <c r="U24" s="21">
        <f t="shared" si="14"/>
        <v>0.77500000000000002</v>
      </c>
      <c r="V24" s="21">
        <f t="shared" si="14"/>
        <v>0.77500000000000002</v>
      </c>
      <c r="W24" s="21">
        <f t="shared" si="14"/>
        <v>0.77500000000000002</v>
      </c>
      <c r="X24" s="21">
        <f t="shared" si="14"/>
        <v>0.77500000000000002</v>
      </c>
      <c r="Y24" s="21">
        <f t="shared" si="14"/>
        <v>0.77500000000000002</v>
      </c>
      <c r="Z24" s="21">
        <f t="shared" si="14"/>
        <v>0.77500000000000002</v>
      </c>
      <c r="AA24" s="21">
        <f t="shared" si="14"/>
        <v>0.77500000000000002</v>
      </c>
      <c r="AB24" s="21">
        <f t="shared" si="14"/>
        <v>0.77500000000000002</v>
      </c>
      <c r="AC24" s="21">
        <f t="shared" si="14"/>
        <v>0.77500000000000002</v>
      </c>
      <c r="AD24" s="21">
        <f t="shared" si="14"/>
        <v>0.77500000000000002</v>
      </c>
      <c r="AE24" s="21">
        <f t="shared" si="14"/>
        <v>0.77500000000000002</v>
      </c>
      <c r="AF24" s="21">
        <f t="shared" si="14"/>
        <v>0.77500000000000002</v>
      </c>
      <c r="AG24" s="21">
        <f t="shared" si="14"/>
        <v>0.77500000000000002</v>
      </c>
      <c r="AH24" s="21">
        <f t="shared" si="14"/>
        <v>0.77500000000000002</v>
      </c>
      <c r="AI24" s="21">
        <f t="shared" si="14"/>
        <v>0.77500000000000002</v>
      </c>
      <c r="AJ24" s="21">
        <f t="shared" si="14"/>
        <v>0.77500000000000002</v>
      </c>
      <c r="AK24" s="21">
        <f t="shared" si="14"/>
        <v>0.77500000000000002</v>
      </c>
      <c r="AL24" s="21">
        <f t="shared" si="14"/>
        <v>0.77500000000000002</v>
      </c>
      <c r="AM24" s="21">
        <f t="shared" si="14"/>
        <v>0.77500000000000002</v>
      </c>
      <c r="AN24" s="21">
        <f t="shared" si="14"/>
        <v>0.77500000000000002</v>
      </c>
      <c r="AO24" s="21">
        <f t="shared" si="14"/>
        <v>0.77500000000000002</v>
      </c>
      <c r="AP24" s="21">
        <f t="shared" si="14"/>
        <v>0.77500000000000002</v>
      </c>
    </row>
  </sheetData>
  <mergeCells count="1">
    <mergeCell ref="A17:AP1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48"/>
  <sheetViews>
    <sheetView zoomScale="85" zoomScaleNormal="85" workbookViewId="0"/>
  </sheetViews>
  <sheetFormatPr defaultRowHeight="15" x14ac:dyDescent="0.25"/>
  <cols>
    <col min="1" max="1" width="33.140625" bestFit="1" customWidth="1"/>
    <col min="2" max="4" width="10.140625" bestFit="1" customWidth="1"/>
    <col min="9" max="9" width="23.140625" bestFit="1" customWidth="1"/>
    <col min="10" max="12" width="10.140625" bestFit="1" customWidth="1"/>
  </cols>
  <sheetData>
    <row r="1" spans="1:26" x14ac:dyDescent="0.25">
      <c r="A1" s="35" t="s">
        <v>70</v>
      </c>
      <c r="B1" s="94" t="s">
        <v>71</v>
      </c>
      <c r="C1" s="95"/>
      <c r="D1" s="95"/>
      <c r="E1" s="95"/>
      <c r="F1" s="95"/>
      <c r="G1" s="96"/>
    </row>
    <row r="2" spans="1:26" x14ac:dyDescent="0.25">
      <c r="A2" s="36"/>
      <c r="B2" s="37" t="s">
        <v>72</v>
      </c>
      <c r="C2" s="38" t="s">
        <v>73</v>
      </c>
      <c r="D2" s="38" t="s">
        <v>74</v>
      </c>
      <c r="E2" s="38" t="s">
        <v>1</v>
      </c>
      <c r="F2" s="38" t="s">
        <v>2</v>
      </c>
      <c r="G2" s="39" t="s">
        <v>8</v>
      </c>
      <c r="J2" s="37" t="s">
        <v>72</v>
      </c>
      <c r="K2" s="38" t="s">
        <v>73</v>
      </c>
      <c r="L2" s="38" t="s">
        <v>74</v>
      </c>
      <c r="M2" s="38" t="s">
        <v>1</v>
      </c>
      <c r="N2" s="38" t="s">
        <v>2</v>
      </c>
      <c r="O2" s="39" t="s">
        <v>8</v>
      </c>
    </row>
    <row r="3" spans="1:26" x14ac:dyDescent="0.25">
      <c r="A3" s="43" t="s">
        <v>75</v>
      </c>
      <c r="B3" s="44">
        <v>0.16806714285714286</v>
      </c>
      <c r="C3" s="44">
        <v>0.16806714285714286</v>
      </c>
      <c r="D3" s="44">
        <v>0.16806714285714286</v>
      </c>
      <c r="E3" s="44">
        <v>0.16806714285714286</v>
      </c>
      <c r="F3" s="44">
        <v>0.16806714285714286</v>
      </c>
      <c r="G3" s="45">
        <v>0.16806714285714286</v>
      </c>
      <c r="I3" s="42" t="s">
        <v>89</v>
      </c>
      <c r="J3" s="48">
        <f t="shared" ref="J3:O3" si="0">B3/B4</f>
        <v>0.19645018597800565</v>
      </c>
      <c r="K3" s="49">
        <f t="shared" si="0"/>
        <v>0.21780673053276234</v>
      </c>
      <c r="L3" s="49">
        <f t="shared" si="0"/>
        <v>0.20939334049906333</v>
      </c>
      <c r="M3" s="49">
        <f t="shared" si="0"/>
        <v>0.19404826506695783</v>
      </c>
      <c r="N3" s="49">
        <f t="shared" si="0"/>
        <v>0.22417873519204282</v>
      </c>
      <c r="O3" s="50">
        <f t="shared" si="0"/>
        <v>0.15943298518830254</v>
      </c>
    </row>
    <row r="4" spans="1:26" x14ac:dyDescent="0.25">
      <c r="A4" s="41" t="s">
        <v>76</v>
      </c>
      <c r="B4" s="28">
        <v>0.85552040595145817</v>
      </c>
      <c r="C4" s="29">
        <v>0.77163429452361354</v>
      </c>
      <c r="D4" s="29">
        <v>0.80263843375618082</v>
      </c>
      <c r="E4" s="29">
        <v>0.86611000000000005</v>
      </c>
      <c r="F4" s="29">
        <v>0.74970153932382599</v>
      </c>
      <c r="G4" s="46">
        <v>1.0541554036552896</v>
      </c>
    </row>
    <row r="5" spans="1:26" x14ac:dyDescent="0.25">
      <c r="A5" s="27"/>
      <c r="B5" s="27"/>
      <c r="C5" s="27"/>
      <c r="D5" s="27"/>
      <c r="E5" s="27"/>
      <c r="F5" s="27"/>
      <c r="G5" s="27"/>
      <c r="S5" t="s">
        <v>98</v>
      </c>
      <c r="T5" t="s">
        <v>99</v>
      </c>
    </row>
    <row r="6" spans="1:26" x14ac:dyDescent="0.25">
      <c r="A6" s="47" t="s">
        <v>77</v>
      </c>
      <c r="B6" s="94" t="s">
        <v>71</v>
      </c>
      <c r="C6" s="95"/>
      <c r="D6" s="95"/>
      <c r="E6" s="95"/>
      <c r="F6" s="95"/>
      <c r="G6" s="96"/>
      <c r="I6" s="42" t="s">
        <v>90</v>
      </c>
      <c r="J6" s="51">
        <f t="shared" ref="J6:O6" si="1">1/J3</f>
        <v>5.0903489605856569</v>
      </c>
      <c r="K6" s="51">
        <f t="shared" si="1"/>
        <v>4.5912263480286741</v>
      </c>
      <c r="L6" s="51">
        <f t="shared" si="1"/>
        <v>4.77570106869981</v>
      </c>
      <c r="M6" s="51">
        <f t="shared" si="1"/>
        <v>5.1533570766785388</v>
      </c>
      <c r="N6" s="51">
        <f t="shared" si="1"/>
        <v>4.4607263893399596</v>
      </c>
      <c r="O6" s="52">
        <f t="shared" si="1"/>
        <v>6.2722277878628665</v>
      </c>
    </row>
    <row r="7" spans="1:26" x14ac:dyDescent="0.25">
      <c r="A7" s="36"/>
      <c r="B7" s="37" t="s">
        <v>72</v>
      </c>
      <c r="C7" s="38" t="s">
        <v>73</v>
      </c>
      <c r="D7" s="38" t="s">
        <v>74</v>
      </c>
      <c r="E7" s="38" t="s">
        <v>1</v>
      </c>
      <c r="F7" s="38" t="s">
        <v>2</v>
      </c>
      <c r="G7" s="39" t="s">
        <v>8</v>
      </c>
      <c r="S7" t="s">
        <v>7</v>
      </c>
      <c r="T7" t="s">
        <v>31</v>
      </c>
      <c r="U7">
        <v>6.9409999999999998</v>
      </c>
      <c r="V7">
        <v>1</v>
      </c>
      <c r="X7">
        <f>V7*U7</f>
        <v>6.9409999999999998</v>
      </c>
      <c r="Z7" s="19">
        <f>X7/$X$11</f>
        <v>3.839027439007528E-2</v>
      </c>
    </row>
    <row r="8" spans="1:26" x14ac:dyDescent="0.25">
      <c r="A8" s="40" t="s">
        <v>78</v>
      </c>
      <c r="B8" s="30">
        <v>0.34664639318494872</v>
      </c>
      <c r="C8" s="31">
        <v>0.32404012123589976</v>
      </c>
      <c r="D8" s="31">
        <v>0.31084398247137551</v>
      </c>
      <c r="E8" s="31">
        <v>0.35343451730602166</v>
      </c>
      <c r="F8" s="31">
        <v>0.3059126817358116</v>
      </c>
      <c r="G8" s="32">
        <v>0.3266806114536816</v>
      </c>
      <c r="I8" t="s">
        <v>91</v>
      </c>
      <c r="J8">
        <f>'Material composition'!C4</f>
        <v>0.1456536961986426</v>
      </c>
      <c r="K8">
        <f>'Material composition'!C5</f>
        <v>0.1311650011784054</v>
      </c>
      <c r="L8">
        <f>'Material composition'!C6</f>
        <v>0.11614330990593753</v>
      </c>
      <c r="M8" t="e">
        <f>'Material composition'!#REF!</f>
        <v>#REF!</v>
      </c>
      <c r="N8">
        <f>'Material composition'!C3</f>
        <v>0.11002598235488097</v>
      </c>
      <c r="O8">
        <f>'Material composition'!C7</f>
        <v>0.11057207087732013</v>
      </c>
      <c r="T8" t="s">
        <v>34</v>
      </c>
      <c r="U8">
        <v>54.93</v>
      </c>
      <c r="V8">
        <v>2</v>
      </c>
      <c r="X8">
        <f>V8*U8</f>
        <v>109.86</v>
      </c>
      <c r="Z8" s="19">
        <f>X8/$X$11</f>
        <v>0.60762938258084864</v>
      </c>
    </row>
    <row r="9" spans="1:26" x14ac:dyDescent="0.25">
      <c r="A9" s="40" t="s">
        <v>37</v>
      </c>
      <c r="B9" s="30">
        <v>0.19350645186064327</v>
      </c>
      <c r="C9" s="31">
        <v>0.21043526488870912</v>
      </c>
      <c r="D9" s="31">
        <v>0.20606125831633237</v>
      </c>
      <c r="E9" s="31">
        <v>0.18460874939258334</v>
      </c>
      <c r="F9" s="31">
        <v>0.22088635002484638</v>
      </c>
      <c r="G9" s="32">
        <v>0.16836680078740685</v>
      </c>
      <c r="I9" t="s">
        <v>92</v>
      </c>
      <c r="J9">
        <f>'Material composition'!D4</f>
        <v>0.23</v>
      </c>
      <c r="K9">
        <f>'Material composition'!D5</f>
        <v>0.19500000000000001</v>
      </c>
      <c r="L9">
        <f>'Material composition'!D6</f>
        <v>0.09</v>
      </c>
      <c r="M9" t="e">
        <f>'Material composition'!#REF!</f>
        <v>#REF!</v>
      </c>
      <c r="N9">
        <f>'Material composition'!D3</f>
        <v>0.13500000000000001</v>
      </c>
      <c r="O9">
        <v>0</v>
      </c>
      <c r="T9" t="s">
        <v>39</v>
      </c>
      <c r="U9">
        <v>16</v>
      </c>
      <c r="V9">
        <v>4</v>
      </c>
      <c r="X9">
        <f>V9*U9</f>
        <v>64</v>
      </c>
      <c r="Z9" s="19">
        <f>X9/$X$11</f>
        <v>0.35398034302907622</v>
      </c>
    </row>
    <row r="10" spans="1:26" x14ac:dyDescent="0.25">
      <c r="A10" s="40" t="s">
        <v>79</v>
      </c>
      <c r="B10" s="30">
        <v>2.3369419765277444E-2</v>
      </c>
      <c r="C10" s="31">
        <v>2.1845401431633691E-2</v>
      </c>
      <c r="D10" s="31">
        <v>1.7269110137298638E-2</v>
      </c>
      <c r="E10" s="31">
        <v>2.3827046110518314E-2</v>
      </c>
      <c r="F10" s="31">
        <v>2.062332685859404E-2</v>
      </c>
      <c r="G10" s="32">
        <v>2.2023412008113367E-2</v>
      </c>
      <c r="I10" t="s">
        <v>93</v>
      </c>
      <c r="J10">
        <f>'Material composition'!E4</f>
        <v>0.48</v>
      </c>
      <c r="K10">
        <f>'Material composition'!E5</f>
        <v>0.62</v>
      </c>
      <c r="L10">
        <f>'Material composition'!E6</f>
        <v>0.75</v>
      </c>
      <c r="M10" t="e">
        <f>'Material composition'!#REF!</f>
        <v>#REF!</v>
      </c>
      <c r="N10">
        <f>'Material composition'!E3</f>
        <v>0.7</v>
      </c>
      <c r="O10">
        <v>0</v>
      </c>
    </row>
    <row r="11" spans="1:26" x14ac:dyDescent="0.25">
      <c r="A11" s="40" t="s">
        <v>80</v>
      </c>
      <c r="B11" s="30">
        <v>2.9659066568993128E-2</v>
      </c>
      <c r="C11" s="31">
        <v>2.9280041450328559E-2</v>
      </c>
      <c r="D11" s="31">
        <v>3.5675453472744444E-2</v>
      </c>
      <c r="E11" s="31">
        <v>2.9572121726795964E-2</v>
      </c>
      <c r="F11" s="31">
        <v>2.8811703085223794E-2</v>
      </c>
      <c r="G11" s="32">
        <v>2.7214253907852731E-2</v>
      </c>
      <c r="I11" t="s">
        <v>94</v>
      </c>
      <c r="J11">
        <f>'Material composition'!F4</f>
        <v>0.36</v>
      </c>
      <c r="K11">
        <f>'Material composition'!F5</f>
        <v>0.19500000000000001</v>
      </c>
      <c r="L11">
        <f>'Material composition'!F6</f>
        <v>0.09</v>
      </c>
      <c r="M11" t="e">
        <f>'Material composition'!#REF!</f>
        <v>#REF!</v>
      </c>
      <c r="N11">
        <f>'Material composition'!F3</f>
        <v>0</v>
      </c>
      <c r="O11">
        <v>0</v>
      </c>
      <c r="X11">
        <f>SUM(X7:X9)</f>
        <v>180.80099999999999</v>
      </c>
    </row>
    <row r="12" spans="1:26" x14ac:dyDescent="0.25">
      <c r="A12" s="40" t="s">
        <v>81</v>
      </c>
      <c r="B12" s="30">
        <v>0.15726504402791874</v>
      </c>
      <c r="C12" s="31">
        <v>0.16081825905153177</v>
      </c>
      <c r="D12" s="31">
        <v>0.15706262226900558</v>
      </c>
      <c r="E12" s="31">
        <v>0.16108965974466674</v>
      </c>
      <c r="F12" s="31">
        <v>0.1666583122702914</v>
      </c>
      <c r="G12" s="32">
        <v>0.13897541319347737</v>
      </c>
      <c r="I12" s="40" t="s">
        <v>78</v>
      </c>
      <c r="J12" s="54">
        <f t="shared" ref="J12:O12" si="2">SUM(J8:J11)</f>
        <v>1.2156536961986426</v>
      </c>
      <c r="K12" s="54">
        <f t="shared" si="2"/>
        <v>1.1411650011784054</v>
      </c>
      <c r="L12" s="54">
        <f t="shared" si="2"/>
        <v>1.0461433099059376</v>
      </c>
      <c r="M12" s="54" t="e">
        <f t="shared" si="2"/>
        <v>#REF!</v>
      </c>
      <c r="N12" s="54">
        <f t="shared" si="2"/>
        <v>0.945025982354881</v>
      </c>
      <c r="O12" s="54">
        <f t="shared" si="2"/>
        <v>0.11057207087732013</v>
      </c>
      <c r="P12" s="53"/>
    </row>
    <row r="13" spans="1:26" x14ac:dyDescent="0.25">
      <c r="A13" s="40" t="s">
        <v>82</v>
      </c>
      <c r="B13" s="30">
        <v>8.178199790399833E-2</v>
      </c>
      <c r="C13" s="31">
        <v>8.3597091855348887E-2</v>
      </c>
      <c r="D13" s="31">
        <v>8.2319088538149857E-2</v>
      </c>
      <c r="E13" s="31">
        <v>8.0581836366911005E-2</v>
      </c>
      <c r="F13" s="31">
        <v>8.614214076168418E-2</v>
      </c>
      <c r="G13" s="32">
        <v>7.5427706791997062E-2</v>
      </c>
      <c r="I13" s="55" t="s">
        <v>97</v>
      </c>
      <c r="J13" s="53">
        <f t="shared" ref="J13:O13" si="3">B23-J12</f>
        <v>0.54889741104112799</v>
      </c>
      <c r="K13" s="53">
        <f t="shared" si="3"/>
        <v>0.34657654125826354</v>
      </c>
      <c r="L13" s="53">
        <f t="shared" si="3"/>
        <v>0.43835462938151548</v>
      </c>
      <c r="M13" s="53" t="e">
        <f t="shared" si="3"/>
        <v>#REF!</v>
      </c>
      <c r="N13" s="53">
        <f t="shared" si="3"/>
        <v>0.41956678989781016</v>
      </c>
      <c r="O13" s="53">
        <f t="shared" si="3"/>
        <v>1.9384431380384937</v>
      </c>
    </row>
    <row r="14" spans="1:26" x14ac:dyDescent="0.25">
      <c r="A14" s="40" t="s">
        <v>83</v>
      </c>
      <c r="B14" s="30">
        <v>2.2213393393729547E-2</v>
      </c>
      <c r="C14" s="31">
        <v>2.2499440397326945E-2</v>
      </c>
      <c r="D14" s="31">
        <v>2.5727363658504924E-2</v>
      </c>
      <c r="E14" s="31">
        <v>2.1602815721194699E-2</v>
      </c>
      <c r="F14" s="31">
        <v>2.2534367348294813E-2</v>
      </c>
      <c r="G14" s="32">
        <v>3.3710736391869278E-2</v>
      </c>
      <c r="I14" s="55"/>
    </row>
    <row r="15" spans="1:26" x14ac:dyDescent="0.25">
      <c r="A15" s="40" t="s">
        <v>84</v>
      </c>
      <c r="B15" s="30">
        <v>6.2010817864265259E-2</v>
      </c>
      <c r="C15" s="31">
        <v>6.2809345505958417E-2</v>
      </c>
      <c r="D15" s="31">
        <v>7.1820402838839212E-2</v>
      </c>
      <c r="E15" s="31">
        <v>6.0306331738600477E-2</v>
      </c>
      <c r="F15" s="31">
        <v>6.2906847438987432E-2</v>
      </c>
      <c r="G15" s="32">
        <v>9.4106753408353935E-2</v>
      </c>
      <c r="I15" s="57"/>
      <c r="S15" t="s">
        <v>100</v>
      </c>
    </row>
    <row r="16" spans="1:26" x14ac:dyDescent="0.25">
      <c r="A16" s="40" t="s">
        <v>85</v>
      </c>
      <c r="B16" s="30">
        <v>6.2010817864265259E-2</v>
      </c>
      <c r="C16" s="31">
        <v>6.2809345505958417E-2</v>
      </c>
      <c r="D16" s="31">
        <v>7.1820402838839212E-2</v>
      </c>
      <c r="E16" s="31">
        <v>6.0306331738600477E-2</v>
      </c>
      <c r="F16" s="31">
        <v>6.2906847438987432E-2</v>
      </c>
      <c r="G16" s="32">
        <v>9.4106753408353935E-2</v>
      </c>
      <c r="I16" s="55"/>
      <c r="T16" t="s">
        <v>31</v>
      </c>
      <c r="U16">
        <v>6.94</v>
      </c>
      <c r="V16">
        <v>1</v>
      </c>
      <c r="X16">
        <f>V16*U16</f>
        <v>6.94</v>
      </c>
      <c r="Z16" s="19">
        <f>X16/$X$19</f>
        <v>4.5675924707121236E-2</v>
      </c>
    </row>
    <row r="17" spans="1:26" x14ac:dyDescent="0.25">
      <c r="A17" s="40" t="s">
        <v>86</v>
      </c>
      <c r="B17" s="30">
        <v>1.5203239822956143E-2</v>
      </c>
      <c r="C17" s="31">
        <v>1.5400794321519359E-2</v>
      </c>
      <c r="D17" s="31">
        <v>1.4988464486888115E-2</v>
      </c>
      <c r="E17" s="31">
        <v>1.8379153427883405E-2</v>
      </c>
      <c r="F17" s="31">
        <v>1.5991833269858358E-2</v>
      </c>
      <c r="G17" s="32">
        <v>1.3315085674266456E-2</v>
      </c>
      <c r="I17" s="55"/>
      <c r="T17" t="s">
        <v>101</v>
      </c>
      <c r="U17">
        <v>31</v>
      </c>
      <c r="V17">
        <v>1</v>
      </c>
      <c r="X17">
        <f>V17*U17</f>
        <v>31</v>
      </c>
      <c r="Z17" s="19">
        <f>X17/$X$19</f>
        <v>0.20402790575227064</v>
      </c>
    </row>
    <row r="18" spans="1:26" x14ac:dyDescent="0.25">
      <c r="A18" s="40" t="s">
        <v>87</v>
      </c>
      <c r="B18" s="30">
        <v>3.4969055231670551E-3</v>
      </c>
      <c r="C18" s="31">
        <v>3.5363910484415544E-3</v>
      </c>
      <c r="D18" s="31">
        <v>3.4273479396860281E-3</v>
      </c>
      <c r="E18" s="31">
        <v>3.021929175414917E-3</v>
      </c>
      <c r="F18" s="31">
        <v>3.6831284381814901E-3</v>
      </c>
      <c r="G18" s="32">
        <v>2.9994959241137118E-3</v>
      </c>
      <c r="I18" s="55"/>
      <c r="T18" t="s">
        <v>23</v>
      </c>
      <c r="U18">
        <v>19</v>
      </c>
      <c r="V18">
        <v>6</v>
      </c>
      <c r="X18">
        <f>V18*U18</f>
        <v>114</v>
      </c>
      <c r="Z18" s="19">
        <f>X18/$X$19</f>
        <v>0.75029616954060818</v>
      </c>
    </row>
    <row r="19" spans="1:26" x14ac:dyDescent="0.25">
      <c r="A19" s="40" t="s">
        <v>88</v>
      </c>
      <c r="B19" s="30">
        <v>2.836452219837074E-3</v>
      </c>
      <c r="C19" s="31">
        <v>2.9285033073436295E-3</v>
      </c>
      <c r="D19" s="31">
        <v>2.9845030323360044E-3</v>
      </c>
      <c r="E19" s="31">
        <v>3.2695075508088188E-3</v>
      </c>
      <c r="F19" s="31">
        <v>2.9424613292389924E-3</v>
      </c>
      <c r="G19" s="32">
        <v>3.0729770505135852E-3</v>
      </c>
      <c r="I19" s="55"/>
      <c r="X19">
        <f>SUM(X16:X18)</f>
        <v>151.94</v>
      </c>
    </row>
    <row r="20" spans="1:26" x14ac:dyDescent="0.25">
      <c r="A20" s="41" t="s">
        <v>38</v>
      </c>
      <c r="B20" s="33">
        <v>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I20" s="55"/>
    </row>
    <row r="21" spans="1:26" x14ac:dyDescent="0.25">
      <c r="I21" s="55"/>
      <c r="S21" t="s">
        <v>2</v>
      </c>
    </row>
    <row r="22" spans="1:26" x14ac:dyDescent="0.25">
      <c r="B22" s="4"/>
      <c r="I22" s="55" t="s">
        <v>102</v>
      </c>
    </row>
    <row r="23" spans="1:26" x14ac:dyDescent="0.25">
      <c r="A23" s="40" t="s">
        <v>78</v>
      </c>
      <c r="B23" s="26">
        <f t="shared" ref="B23:B29" si="4">B8*$J$6</f>
        <v>1.7645511072397706</v>
      </c>
      <c r="C23" s="53">
        <f t="shared" ref="C23:C29" si="5">C8*$K$6</f>
        <v>1.4877415424366689</v>
      </c>
      <c r="D23" s="53">
        <f t="shared" ref="D23:D29" si="6">D8*$L$6</f>
        <v>1.4844979392874531</v>
      </c>
      <c r="E23" s="53">
        <f t="shared" ref="E23:E29" si="7">E8*$M$6</f>
        <v>1.8213742709014502</v>
      </c>
      <c r="F23" s="53">
        <f t="shared" ref="F23:F29" si="8">F8*$N$6</f>
        <v>1.3645927722526912</v>
      </c>
      <c r="G23" s="53">
        <f t="shared" ref="G23:G29" si="9">G8*$O$6</f>
        <v>2.0490152089158138</v>
      </c>
      <c r="I23" s="55">
        <f>F23*0.01</f>
        <v>1.3645927722526912E-2</v>
      </c>
      <c r="T23" t="s">
        <v>31</v>
      </c>
      <c r="U23">
        <v>6.9409999999999998</v>
      </c>
      <c r="V23">
        <v>1</v>
      </c>
      <c r="X23">
        <f>V23*U23</f>
        <v>6.9409999999999998</v>
      </c>
      <c r="Z23" s="19">
        <f>X23/$X$29</f>
        <v>7.2234694383031831E-2</v>
      </c>
    </row>
    <row r="24" spans="1:26" x14ac:dyDescent="0.25">
      <c r="A24" s="40" t="s">
        <v>37</v>
      </c>
      <c r="B24" s="26">
        <f t="shared" si="4"/>
        <v>0.98501536609544393</v>
      </c>
      <c r="C24" s="53">
        <f t="shared" si="5"/>
        <v>0.96615593271143463</v>
      </c>
      <c r="D24" s="53">
        <f t="shared" si="6"/>
        <v>0.9840869715589361</v>
      </c>
      <c r="E24" s="53">
        <f t="shared" si="7"/>
        <v>0.95135480509904424</v>
      </c>
      <c r="F24" s="53">
        <f t="shared" si="8"/>
        <v>0.98531357060081548</v>
      </c>
      <c r="G24" s="53">
        <f t="shared" si="9"/>
        <v>1.0560349264523448</v>
      </c>
      <c r="I24" s="55"/>
      <c r="T24" t="s">
        <v>33</v>
      </c>
      <c r="U24">
        <v>58.7</v>
      </c>
      <c r="V24">
        <v>0.8</v>
      </c>
      <c r="X24">
        <f>V24*U24</f>
        <v>46.960000000000008</v>
      </c>
      <c r="Z24" s="19">
        <f>X24/$X$29</f>
        <v>0.48871074027188804</v>
      </c>
    </row>
    <row r="25" spans="1:26" x14ac:dyDescent="0.25">
      <c r="A25" s="40" t="s">
        <v>79</v>
      </c>
      <c r="B25" s="26">
        <f t="shared" si="4"/>
        <v>0.11895850161166995</v>
      </c>
      <c r="C25" s="53">
        <f t="shared" si="5"/>
        <v>0.10029718263617993</v>
      </c>
      <c r="D25" s="53">
        <f t="shared" si="6"/>
        <v>8.247210773819183E-2</v>
      </c>
      <c r="E25" s="53">
        <f t="shared" si="7"/>
        <v>0.1227892766899854</v>
      </c>
      <c r="F25" s="53">
        <f t="shared" si="8"/>
        <v>9.1995018354114E-2</v>
      </c>
      <c r="G25" s="53">
        <f t="shared" si="9"/>
        <v>0.13813585678084139</v>
      </c>
      <c r="I25" s="56"/>
      <c r="T25" t="s">
        <v>32</v>
      </c>
      <c r="U25">
        <v>58.93</v>
      </c>
      <c r="V25">
        <v>0.15</v>
      </c>
      <c r="X25">
        <f>V25*U25</f>
        <v>8.8394999999999992</v>
      </c>
      <c r="Z25" s="19">
        <f>X25/$X$29</f>
        <v>9.1992303846536491E-2</v>
      </c>
    </row>
    <row r="26" spans="1:26" x14ac:dyDescent="0.25">
      <c r="A26" s="40" t="s">
        <v>80</v>
      </c>
      <c r="B26" s="26">
        <f t="shared" si="4"/>
        <v>0.15097499868141498</v>
      </c>
      <c r="C26" s="53">
        <f t="shared" si="5"/>
        <v>0.13443129777812018</v>
      </c>
      <c r="D26" s="53">
        <f t="shared" si="6"/>
        <v>0.17037530127613598</v>
      </c>
      <c r="E26" s="53">
        <f t="shared" si="7"/>
        <v>0.15239570277318315</v>
      </c>
      <c r="F26" s="53">
        <f t="shared" si="8"/>
        <v>0.1285211242740853</v>
      </c>
      <c r="G26" s="53">
        <f t="shared" si="9"/>
        <v>0.17069399958678952</v>
      </c>
      <c r="T26" t="s">
        <v>36</v>
      </c>
      <c r="U26">
        <v>26.981200000000001</v>
      </c>
      <c r="V26">
        <v>0.05</v>
      </c>
      <c r="X26">
        <f>V26*U26</f>
        <v>1.3490600000000001</v>
      </c>
      <c r="Z26" s="19">
        <f>X26/$X$29</f>
        <v>1.4039610546660844E-2</v>
      </c>
    </row>
    <row r="27" spans="1:26" x14ac:dyDescent="0.25">
      <c r="A27" s="40" t="s">
        <v>81</v>
      </c>
      <c r="B27" s="26">
        <f>B12*$J$6</f>
        <v>0.80053395340397371</v>
      </c>
      <c r="C27" s="53">
        <f t="shared" si="5"/>
        <v>0.73835302820149351</v>
      </c>
      <c r="D27" s="53">
        <f t="shared" si="6"/>
        <v>0.75008413302288457</v>
      </c>
      <c r="E27" s="53">
        <f t="shared" si="7"/>
        <v>0.83015253802491629</v>
      </c>
      <c r="F27" s="53">
        <f t="shared" si="8"/>
        <v>0.74341713154694844</v>
      </c>
      <c r="G27" s="53">
        <f t="shared" si="9"/>
        <v>0.87168544846185236</v>
      </c>
      <c r="T27" t="s">
        <v>39</v>
      </c>
      <c r="U27">
        <v>16</v>
      </c>
      <c r="V27">
        <v>2</v>
      </c>
      <c r="X27">
        <f>V27*U27</f>
        <v>32</v>
      </c>
      <c r="Z27" s="19">
        <f>X27/$X$29</f>
        <v>0.33302265095188277</v>
      </c>
    </row>
    <row r="28" spans="1:26" x14ac:dyDescent="0.25">
      <c r="A28" s="40" t="s">
        <v>82</v>
      </c>
      <c r="B28" s="26">
        <f t="shared" si="4"/>
        <v>0.41629890802523628</v>
      </c>
      <c r="C28" s="53">
        <f t="shared" si="5"/>
        <v>0.38381317074485111</v>
      </c>
      <c r="D28" s="53">
        <f t="shared" si="6"/>
        <v>0.39313135910603653</v>
      </c>
      <c r="E28" s="53">
        <f t="shared" si="7"/>
        <v>0.41526697669317286</v>
      </c>
      <c r="F28" s="53">
        <f t="shared" si="8"/>
        <v>0.38425652052988202</v>
      </c>
      <c r="G28" s="53">
        <f t="shared" si="9"/>
        <v>0.47309975851553665</v>
      </c>
    </row>
    <row r="29" spans="1:26" x14ac:dyDescent="0.25">
      <c r="A29" s="40" t="s">
        <v>83</v>
      </c>
      <c r="B29" s="26">
        <f t="shared" si="4"/>
        <v>0.1130739239728515</v>
      </c>
      <c r="C29" s="53">
        <f t="shared" si="5"/>
        <v>0.1033000235681082</v>
      </c>
      <c r="D29" s="53">
        <f t="shared" si="6"/>
        <v>0.12286619811875062</v>
      </c>
      <c r="E29" s="53">
        <f t="shared" si="7"/>
        <v>0.11132702327300109</v>
      </c>
      <c r="F29" s="53">
        <f t="shared" si="8"/>
        <v>0.1005196470976194</v>
      </c>
      <c r="G29" s="53">
        <f t="shared" si="9"/>
        <v>0.21144141754640247</v>
      </c>
      <c r="X29">
        <f>SUM(X23:X27)</f>
        <v>96.089560000000006</v>
      </c>
    </row>
    <row r="30" spans="1:26" x14ac:dyDescent="0.25">
      <c r="A30" s="40" t="s">
        <v>95</v>
      </c>
      <c r="B30" s="26">
        <f t="shared" ref="B30:G30" si="10">SUM(B15:B16)*J6</f>
        <v>0.63131340452085827</v>
      </c>
      <c r="C30" s="53">
        <f t="shared" si="10"/>
        <v>0.57674384397878531</v>
      </c>
      <c r="D30" s="53">
        <f t="shared" si="10"/>
        <v>0.68598554918379062</v>
      </c>
      <c r="E30" s="53">
        <f t="shared" si="10"/>
        <v>0.62156012286728068</v>
      </c>
      <c r="F30" s="53">
        <f t="shared" si="10"/>
        <v>0.56122046888254817</v>
      </c>
      <c r="G30" s="53">
        <f t="shared" si="10"/>
        <v>1.1805179875068721</v>
      </c>
    </row>
    <row r="31" spans="1:26" x14ac:dyDescent="0.25">
      <c r="A31" s="40" t="s">
        <v>96</v>
      </c>
      <c r="B31" s="26">
        <f t="shared" ref="B31:G31" si="11">SUM(B17:B19)*J6</f>
        <v>0.10962879703443747</v>
      </c>
      <c r="C31" s="53">
        <f t="shared" si="11"/>
        <v>0.10039032597303285</v>
      </c>
      <c r="D31" s="53">
        <f t="shared" si="11"/>
        <v>0.10220150940763026</v>
      </c>
      <c r="E31" s="53">
        <f t="shared" si="11"/>
        <v>0.12713636035650394</v>
      </c>
      <c r="F31" s="53">
        <f t="shared" si="11"/>
        <v>0.10089013580125525</v>
      </c>
      <c r="G31" s="53">
        <f t="shared" si="11"/>
        <v>0.12160318409641244</v>
      </c>
    </row>
    <row r="34" spans="1:11" x14ac:dyDescent="0.25">
      <c r="B34">
        <f t="shared" ref="B34:G34" si="12">B29*0.05</f>
        <v>5.6536961986425752E-3</v>
      </c>
      <c r="C34">
        <f t="shared" si="12"/>
        <v>5.1650011784054109E-3</v>
      </c>
      <c r="D34">
        <f t="shared" si="12"/>
        <v>6.1433099059375312E-3</v>
      </c>
      <c r="E34">
        <f t="shared" si="12"/>
        <v>5.5663511636500551E-3</v>
      </c>
      <c r="F34">
        <f t="shared" si="12"/>
        <v>5.0259823548809701E-3</v>
      </c>
      <c r="G34">
        <f t="shared" si="12"/>
        <v>1.0572070877320124E-2</v>
      </c>
    </row>
    <row r="39" spans="1:11" x14ac:dyDescent="0.25">
      <c r="A39" s="58" t="s">
        <v>103</v>
      </c>
    </row>
    <row r="40" spans="1:11" x14ac:dyDescent="0.25">
      <c r="A40" s="58"/>
      <c r="B40" s="59" t="s">
        <v>31</v>
      </c>
      <c r="C40" s="60" t="s">
        <v>32</v>
      </c>
      <c r="D40" s="60" t="s">
        <v>33</v>
      </c>
      <c r="E40" s="60" t="s">
        <v>34</v>
      </c>
      <c r="F40" s="60" t="s">
        <v>39</v>
      </c>
      <c r="G40" s="60" t="s">
        <v>101</v>
      </c>
      <c r="H40" s="60" t="s">
        <v>23</v>
      </c>
      <c r="I40" s="60" t="s">
        <v>36</v>
      </c>
      <c r="J40" s="60" t="s">
        <v>104</v>
      </c>
      <c r="K40" s="60" t="s">
        <v>105</v>
      </c>
    </row>
    <row r="41" spans="1:11" x14ac:dyDescent="0.25">
      <c r="A41" s="58" t="s">
        <v>1</v>
      </c>
      <c r="B41" s="61">
        <v>7.0910391335444981E-2</v>
      </c>
      <c r="C41" s="61">
        <v>0.60212526821293555</v>
      </c>
      <c r="D41" s="61">
        <v>0</v>
      </c>
      <c r="E41" s="61">
        <v>0</v>
      </c>
      <c r="F41" s="61">
        <v>0.32696434045161948</v>
      </c>
      <c r="G41" s="61">
        <v>0</v>
      </c>
      <c r="H41" s="61">
        <v>0</v>
      </c>
      <c r="I41" s="61">
        <v>0</v>
      </c>
      <c r="J41" s="61">
        <v>0</v>
      </c>
      <c r="K41" s="62">
        <v>1</v>
      </c>
    </row>
    <row r="42" spans="1:11" x14ac:dyDescent="0.25">
      <c r="A42" s="58" t="s">
        <v>72</v>
      </c>
      <c r="B42" s="61">
        <v>7.1946921003524789E-2</v>
      </c>
      <c r="C42" s="61">
        <v>0.20364226968000551</v>
      </c>
      <c r="D42" s="61">
        <v>0.20281291036008017</v>
      </c>
      <c r="E42" s="61">
        <v>0.18985417098624646</v>
      </c>
      <c r="F42" s="61">
        <v>0.33174372797014307</v>
      </c>
      <c r="G42" s="61">
        <v>0</v>
      </c>
      <c r="H42" s="61">
        <v>0</v>
      </c>
      <c r="I42" s="61">
        <v>0</v>
      </c>
      <c r="J42" s="61">
        <v>0</v>
      </c>
      <c r="K42" s="62">
        <v>1</v>
      </c>
    </row>
    <row r="43" spans="1:11" x14ac:dyDescent="0.25">
      <c r="A43" s="58" t="s">
        <v>73</v>
      </c>
      <c r="B43" s="61">
        <v>7.159953780125454E-2</v>
      </c>
      <c r="C43" s="61">
        <v>0.12159541102674151</v>
      </c>
      <c r="D43" s="61">
        <v>0.36330059425552985</v>
      </c>
      <c r="E43" s="61">
        <v>0.11336249587322549</v>
      </c>
      <c r="F43" s="61">
        <v>0.33014196104324861</v>
      </c>
      <c r="G43" s="61">
        <v>0</v>
      </c>
      <c r="H43" s="61">
        <v>0</v>
      </c>
      <c r="I43" s="61">
        <v>0</v>
      </c>
      <c r="J43" s="61">
        <v>0</v>
      </c>
      <c r="K43" s="62">
        <v>1</v>
      </c>
    </row>
    <row r="44" spans="1:11" x14ac:dyDescent="0.25">
      <c r="A44" s="58" t="s">
        <v>74</v>
      </c>
      <c r="B44" s="61">
        <v>7.1341193885627943E-2</v>
      </c>
      <c r="C44" s="61">
        <v>6.0578336537176584E-2</v>
      </c>
      <c r="D44" s="61">
        <v>0.4826529877979831</v>
      </c>
      <c r="E44" s="61">
        <v>5.6476731874299697E-2</v>
      </c>
      <c r="F44" s="61">
        <v>0.32895074990491269</v>
      </c>
      <c r="G44" s="61">
        <v>0</v>
      </c>
      <c r="H44" s="61">
        <v>0</v>
      </c>
      <c r="I44" s="61">
        <v>0</v>
      </c>
      <c r="J44" s="61">
        <v>0</v>
      </c>
      <c r="K44" s="62">
        <v>1</v>
      </c>
    </row>
    <row r="45" spans="1:11" x14ac:dyDescent="0.25">
      <c r="A45" s="58" t="s">
        <v>100</v>
      </c>
      <c r="B45" s="61">
        <v>4.5684945033243371E-2</v>
      </c>
      <c r="C45" s="61">
        <v>0</v>
      </c>
      <c r="D45" s="61">
        <v>0</v>
      </c>
      <c r="E45" s="61">
        <v>0</v>
      </c>
      <c r="F45" s="61">
        <v>0</v>
      </c>
      <c r="G45" s="61">
        <v>0.20387071292212494</v>
      </c>
      <c r="H45" s="61">
        <v>0.75044434204463173</v>
      </c>
      <c r="I45" s="61">
        <v>0</v>
      </c>
      <c r="J45" s="61">
        <v>0</v>
      </c>
      <c r="K45" s="62">
        <v>1</v>
      </c>
    </row>
    <row r="46" spans="1:11" x14ac:dyDescent="0.25">
      <c r="A46" s="58" t="s">
        <v>2</v>
      </c>
      <c r="B46" s="61">
        <v>7.2231097881463979E-2</v>
      </c>
      <c r="C46" s="61">
        <v>9.2000978346282541E-2</v>
      </c>
      <c r="D46" s="61">
        <v>0.48867356019171421</v>
      </c>
      <c r="E46" s="61">
        <v>0</v>
      </c>
      <c r="F46" s="61">
        <v>0.33305405363211055</v>
      </c>
      <c r="G46" s="61">
        <v>0</v>
      </c>
      <c r="H46" s="61">
        <v>0</v>
      </c>
      <c r="I46" s="61">
        <v>1.4040309948428663E-2</v>
      </c>
      <c r="J46" s="61">
        <v>0</v>
      </c>
      <c r="K46" s="62">
        <v>0.99999999999999989</v>
      </c>
    </row>
    <row r="47" spans="1:11" x14ac:dyDescent="0.25">
      <c r="A47" s="58" t="s">
        <v>7</v>
      </c>
      <c r="B47" s="61">
        <v>3.8380710098440442E-2</v>
      </c>
      <c r="C47" s="61">
        <v>0</v>
      </c>
      <c r="D47" s="61">
        <v>0</v>
      </c>
      <c r="E47" s="61">
        <v>0.60767614201968811</v>
      </c>
      <c r="F47" s="61">
        <v>0.35394314788187148</v>
      </c>
      <c r="G47" s="61">
        <v>0</v>
      </c>
      <c r="H47" s="61">
        <v>0</v>
      </c>
      <c r="I47" s="61">
        <v>0</v>
      </c>
      <c r="J47" s="61">
        <v>0</v>
      </c>
      <c r="K47" s="62">
        <v>1</v>
      </c>
    </row>
    <row r="48" spans="1:11" x14ac:dyDescent="0.25">
      <c r="A48" s="58" t="s">
        <v>8</v>
      </c>
      <c r="B48" s="61">
        <v>4.3990872210953352E-2</v>
      </c>
      <c r="C48" s="61">
        <v>0</v>
      </c>
      <c r="D48" s="61">
        <v>0</v>
      </c>
      <c r="E48" s="61">
        <v>0</v>
      </c>
      <c r="F48" s="61">
        <v>0.40567951318458423</v>
      </c>
      <c r="G48" s="61">
        <v>0.1963108519269777</v>
      </c>
      <c r="H48" s="61">
        <v>0</v>
      </c>
      <c r="I48" s="61">
        <v>0</v>
      </c>
      <c r="J48" s="61">
        <v>0.35401876267748483</v>
      </c>
      <c r="K48" s="62">
        <v>1.0000000000000002</v>
      </c>
    </row>
  </sheetData>
  <mergeCells count="2">
    <mergeCell ref="B1:G1"/>
    <mergeCell ref="B6:G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E460AF58AE884FBDAFE5F0BC8A3C26" ma:contentTypeVersion="13" ma:contentTypeDescription="Create a new document." ma:contentTypeScope="" ma:versionID="880aabc0518a0ac9df850906ef26756d">
  <xsd:schema xmlns:xsd="http://www.w3.org/2001/XMLSchema" xmlns:xs="http://www.w3.org/2001/XMLSchema" xmlns:p="http://schemas.microsoft.com/office/2006/metadata/properties" xmlns:ns3="6ccfbfb3-c687-46c4-b522-0c2663e8cb99" xmlns:ns4="980b4d08-f6c4-45be-a157-5b38f890fa41" targetNamespace="http://schemas.microsoft.com/office/2006/metadata/properties" ma:root="true" ma:fieldsID="3d6f96f3db87ad2e8c33f938e7abbbca" ns3:_="" ns4:_="">
    <xsd:import namespace="6ccfbfb3-c687-46c4-b522-0c2663e8cb99"/>
    <xsd:import namespace="980b4d08-f6c4-45be-a157-5b38f890fa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fbfb3-c687-46c4-b522-0c2663e8cb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0b4d08-f6c4-45be-a157-5b38f890fa4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176511-BC92-43A2-933C-AC6330DE2C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cfbfb3-c687-46c4-b522-0c2663e8cb99"/>
    <ds:schemaRef ds:uri="980b4d08-f6c4-45be-a157-5b38f890fa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96374D-9F40-46F3-95B3-0698EE8CD9C4}">
  <ds:schemaRefs>
    <ds:schemaRef ds:uri="6ccfbfb3-c687-46c4-b522-0c2663e8cb99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980b4d08-f6c4-45be-a157-5b38f890fa4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8772E26-F2EA-4DBB-A9C9-CCFDF38A2B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Li-S calculations</vt:lpstr>
      <vt:lpstr>chemistries forecasts</vt:lpstr>
      <vt:lpstr>BEV_data</vt:lpstr>
      <vt:lpstr>Batt_size</vt:lpstr>
      <vt:lpstr>Material composition</vt:lpstr>
      <vt:lpstr>CAPEX</vt:lpstr>
      <vt:lpstr>Employment and automation</vt:lpstr>
      <vt:lpstr>Calculations_cells</vt:lpstr>
      <vt:lpstr>Calculations_pack</vt:lpstr>
      <vt:lpstr>LCIs Li-ion</vt:lpstr>
      <vt:lpstr>Production capacity</vt:lpstr>
      <vt:lpstr>Sheet2</vt:lpstr>
      <vt:lpstr>Historical EVs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Lorenzo Usai</dc:creator>
  <cp:keywords/>
  <dc:description/>
  <cp:lastModifiedBy>Lorenzo Usai</cp:lastModifiedBy>
  <cp:revision/>
  <dcterms:created xsi:type="dcterms:W3CDTF">2020-10-02T14:42:23Z</dcterms:created>
  <dcterms:modified xsi:type="dcterms:W3CDTF">2021-08-30T12:58:49Z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0x01010011E460AF58AE884FBDAFE5F0BC8A3C26</vt:lpwstr>
  </property>
</Properties>
</file>