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lorenzou\Box\PhD work\Paper 2 - Mapping materials demand for high penetration of EVs, challenges and opportunities\Python script\LIBs demand\LIBs-demand-\"/>
    </mc:Choice>
  </mc:AlternateContent>
  <xr:revisionPtr revIDLastSave="0" documentId="13_ncr:1_{2ECB6B79-9DFD-4FC8-9705-4B4DC426C4F1}" xr6:coauthVersionLast="47" xr6:coauthVersionMax="47" xr10:uidLastSave="{00000000-0000-0000-0000-000000000000}"/>
  <bookViews>
    <workbookView xWindow="7620" yWindow="1035" windowWidth="29685" windowHeight="18480" activeTab="6" xr2:uid="{00000000-000D-0000-FFFF-FFFF00000000}"/>
  </bookViews>
  <sheets>
    <sheet name="Chemistries_scenario" sheetId="1" r:id="rId1"/>
    <sheet name="Battery_size" sheetId="17" r:id="rId2"/>
    <sheet name="Material composition" sheetId="3" r:id="rId3"/>
    <sheet name="Calculations_cells" sheetId="15" state="hidden" r:id="rId4"/>
    <sheet name="BEV_data" sheetId="2" r:id="rId5"/>
    <sheet name="Employment and automation" sheetId="22" r:id="rId6"/>
    <sheet name="Other_industries_mat demand" sheetId="19" r:id="rId7"/>
    <sheet name="CAPEX" sheetId="20" r:id="rId8"/>
    <sheet name="Production capacity" sheetId="13" r:id="rId9"/>
    <sheet name="LIBs forecast from literature" sheetId="1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4" i="2" l="1"/>
  <c r="D29" i="2" s="1"/>
  <c r="H32" i="2"/>
  <c r="AH33" i="2"/>
  <c r="AD33" i="2"/>
  <c r="AE33" i="2"/>
  <c r="AE34" i="2" s="1"/>
  <c r="AF33" i="2"/>
  <c r="AF34" i="2" s="1"/>
  <c r="AG33" i="2"/>
  <c r="AG34" i="2" s="1"/>
  <c r="AC33" i="2"/>
  <c r="AC34" i="2" s="1"/>
  <c r="G25" i="2" l="1"/>
  <c r="G29" i="2"/>
  <c r="D28" i="2"/>
  <c r="C29" i="2"/>
  <c r="C26" i="2"/>
  <c r="C28" i="2"/>
  <c r="C25" i="2"/>
  <c r="C30" i="2"/>
  <c r="C27" i="2"/>
  <c r="C24" i="2"/>
  <c r="E27" i="2"/>
  <c r="E24" i="2"/>
  <c r="E29" i="2"/>
  <c r="E26" i="2"/>
  <c r="E28" i="2"/>
  <c r="E25" i="2"/>
  <c r="E30" i="2"/>
  <c r="F30" i="2"/>
  <c r="F27" i="2"/>
  <c r="F29" i="2"/>
  <c r="F24" i="2"/>
  <c r="F26" i="2"/>
  <c r="F25" i="2"/>
  <c r="F28" i="2"/>
  <c r="D27" i="2"/>
  <c r="D30" i="2"/>
  <c r="G28" i="2"/>
  <c r="D24" i="2"/>
  <c r="G26" i="2"/>
  <c r="D25" i="2"/>
  <c r="D26" i="2"/>
  <c r="G30" i="2"/>
  <c r="G24" i="2"/>
  <c r="G27" i="2"/>
  <c r="E32" i="2" l="1"/>
  <c r="C32" i="2"/>
  <c r="G32" i="2"/>
  <c r="D32" i="2"/>
  <c r="F32" i="2"/>
  <c r="C3" i="22" l="1"/>
  <c r="D3" i="22" s="1"/>
  <c r="E3" i="22" s="1"/>
  <c r="F3" i="22" s="1"/>
  <c r="G3" i="22" s="1"/>
  <c r="H3" i="22" s="1"/>
  <c r="I3" i="22" s="1"/>
  <c r="J3" i="22" s="1"/>
  <c r="K3" i="22" s="1"/>
  <c r="L3" i="22" s="1"/>
  <c r="M3" i="22" s="1"/>
  <c r="N3" i="22" s="1"/>
  <c r="O3" i="22" s="1"/>
  <c r="P3" i="22" s="1"/>
  <c r="Q3" i="22" s="1"/>
  <c r="R3" i="22" s="1"/>
  <c r="S3" i="22" s="1"/>
  <c r="T3" i="22" s="1"/>
  <c r="U3" i="22" s="1"/>
  <c r="V3" i="22" s="1"/>
  <c r="W3" i="22" s="1"/>
  <c r="X3" i="22" s="1"/>
  <c r="Y3" i="22" s="1"/>
  <c r="Z3" i="22" s="1"/>
  <c r="AA3" i="22" s="1"/>
  <c r="AB3" i="22" s="1"/>
  <c r="AC3" i="22" s="1"/>
  <c r="AD3" i="22" s="1"/>
  <c r="AE3" i="22" s="1"/>
  <c r="AF3" i="22" s="1"/>
  <c r="AG3" i="22" s="1"/>
  <c r="AH3" i="22" s="1"/>
  <c r="AI3" i="22" s="1"/>
  <c r="AJ3" i="22" s="1"/>
  <c r="AK3" i="22" s="1"/>
  <c r="AL3" i="22" s="1"/>
  <c r="AM3" i="22" s="1"/>
  <c r="AN3" i="22" s="1"/>
  <c r="AO3" i="22" s="1"/>
  <c r="AP3" i="22" s="1"/>
  <c r="X97" i="20" l="1"/>
  <c r="X96" i="20"/>
  <c r="X95" i="20"/>
  <c r="X94" i="20"/>
  <c r="X93" i="20"/>
  <c r="X92" i="20"/>
  <c r="X90" i="20" l="1"/>
  <c r="X87" i="20" l="1"/>
  <c r="D2" i="22" l="1"/>
  <c r="E2" i="22" s="1"/>
  <c r="F2" i="22" s="1"/>
  <c r="G2" i="22" s="1"/>
  <c r="H2" i="22" s="1"/>
  <c r="I2" i="22" s="1"/>
  <c r="J2" i="22" s="1"/>
  <c r="K2" i="22" s="1"/>
  <c r="L2" i="22" s="1"/>
  <c r="M2" i="22" s="1"/>
  <c r="N2" i="22" s="1"/>
  <c r="O2" i="22" s="1"/>
  <c r="P2" i="22" s="1"/>
  <c r="Q2" i="22" s="1"/>
  <c r="R2" i="22" s="1"/>
  <c r="S2" i="22" s="1"/>
  <c r="T2" i="22" s="1"/>
  <c r="U2" i="22" s="1"/>
  <c r="V2" i="22" s="1"/>
  <c r="W2" i="22" s="1"/>
  <c r="X2" i="22" s="1"/>
  <c r="Y2" i="22" s="1"/>
  <c r="Z2" i="22" s="1"/>
  <c r="AA2" i="22" s="1"/>
  <c r="AB2" i="22" s="1"/>
  <c r="AC2" i="22" s="1"/>
  <c r="AD2" i="22" s="1"/>
  <c r="AE2" i="22" s="1"/>
  <c r="AF2" i="22" s="1"/>
  <c r="AG2" i="22" s="1"/>
  <c r="AH2" i="22" s="1"/>
  <c r="AI2" i="22" s="1"/>
  <c r="AJ2" i="22" s="1"/>
  <c r="AK2" i="22" s="1"/>
  <c r="AL2" i="22" s="1"/>
  <c r="AM2" i="22" s="1"/>
  <c r="AN2" i="22" s="1"/>
  <c r="AO2" i="22" s="1"/>
  <c r="AP2" i="22" s="1"/>
  <c r="X83" i="20" l="1"/>
  <c r="Z84" i="20" s="1"/>
  <c r="X85" i="20"/>
  <c r="P57" i="20"/>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U61" i="20"/>
  <c r="C11" i="20"/>
  <c r="C12" i="20"/>
  <c r="C14" i="20"/>
  <c r="C10" i="20"/>
  <c r="J25" i="20"/>
  <c r="E56" i="20"/>
  <c r="J29" i="20"/>
  <c r="J27" i="20"/>
  <c r="J26" i="20"/>
  <c r="X81" i="20" l="1"/>
  <c r="X99" i="20" s="1"/>
  <c r="R81" i="20"/>
  <c r="T81" i="20" s="1"/>
  <c r="I81" i="20"/>
  <c r="I65" i="20"/>
  <c r="I66" i="20"/>
  <c r="I74" i="20"/>
  <c r="I67" i="20"/>
  <c r="I68" i="20"/>
  <c r="I69" i="20"/>
  <c r="I76" i="20"/>
  <c r="I70" i="20"/>
  <c r="I78" i="20"/>
  <c r="C53" i="20" l="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B42" i="20" l="1"/>
  <c r="B41" i="20"/>
  <c r="B43" i="20"/>
  <c r="B44" i="20"/>
  <c r="B46" i="20"/>
  <c r="A43" i="20"/>
  <c r="A44" i="20"/>
  <c r="A45" i="20"/>
  <c r="A46" i="20"/>
  <c r="A42" i="20"/>
  <c r="AV13" i="1" l="1"/>
  <c r="AF4" i="18" l="1"/>
  <c r="AG4" i="18"/>
  <c r="AI4" i="18"/>
  <c r="AK4" i="18"/>
  <c r="AF5" i="18"/>
  <c r="AG5" i="18"/>
  <c r="AH5" i="18"/>
  <c r="AI5" i="18"/>
  <c r="AJ5" i="18"/>
  <c r="AK5" i="18"/>
  <c r="AF6" i="18"/>
  <c r="AH6" i="18"/>
  <c r="AI6" i="18"/>
  <c r="AJ6" i="18"/>
  <c r="AK6" i="18"/>
  <c r="P15" i="18"/>
  <c r="AE6" i="18"/>
  <c r="AE5" i="18"/>
  <c r="AE4" i="18"/>
  <c r="AE8" i="18" s="1"/>
  <c r="AK8" i="18" l="1"/>
  <c r="AM5" i="18"/>
  <c r="AI8" i="18"/>
  <c r="AF8" i="18"/>
  <c r="D6" i="20" l="1"/>
  <c r="C13" i="20" l="1"/>
  <c r="B45" i="20"/>
  <c r="D5" i="13" l="1"/>
  <c r="E5" i="13" s="1"/>
  <c r="F5" i="13" s="1"/>
  <c r="G5" i="13" s="1"/>
  <c r="H5" i="13" s="1"/>
  <c r="I5" i="13" s="1"/>
  <c r="J5" i="13" s="1"/>
  <c r="K5" i="13" s="1"/>
  <c r="L5" i="13" s="1"/>
  <c r="M5" i="13" s="1"/>
  <c r="N5" i="13" s="1"/>
  <c r="O5" i="13" s="1"/>
  <c r="P5" i="13" s="1"/>
  <c r="Q5" i="13" s="1"/>
  <c r="R5" i="13" s="1"/>
  <c r="D14" i="1" l="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M14" i="1"/>
  <c r="AN14" i="1"/>
  <c r="AO14" i="1"/>
  <c r="AP14" i="1"/>
  <c r="AQ14" i="1"/>
  <c r="AR14" i="1"/>
  <c r="AS14" i="1"/>
  <c r="AT14" i="1"/>
  <c r="AU14" i="1"/>
  <c r="C14" i="1"/>
  <c r="AV12" i="1"/>
  <c r="AV11" i="1"/>
  <c r="T55" i="18" l="1"/>
  <c r="T39" i="18"/>
  <c r="T38" i="18"/>
  <c r="T54" i="18"/>
  <c r="T37" i="18"/>
  <c r="T53" i="18"/>
  <c r="T52" i="18"/>
  <c r="T51" i="18"/>
  <c r="T56" i="18"/>
  <c r="T50" i="18"/>
  <c r="T35" i="18"/>
  <c r="T36" i="18"/>
  <c r="T40" i="18"/>
  <c r="T34" i="18"/>
  <c r="T46" i="18" l="1"/>
  <c r="T61" i="18"/>
  <c r="AA20" i="18" l="1"/>
  <c r="AA21" i="18"/>
  <c r="AA22" i="18"/>
  <c r="AA23" i="18"/>
  <c r="AA24" i="18"/>
  <c r="AA25" i="18"/>
  <c r="AD22" i="18" s="1"/>
  <c r="AA19" i="18"/>
  <c r="AD21" i="18" s="1"/>
  <c r="Y5" i="18"/>
  <c r="Y7" i="18"/>
  <c r="Y4" i="18"/>
  <c r="X5" i="18"/>
  <c r="X7" i="18"/>
  <c r="X4" i="18"/>
  <c r="AB5" i="18" l="1"/>
  <c r="AA29" i="18"/>
  <c r="AD20" i="18"/>
  <c r="Q15" i="18"/>
  <c r="R15" i="18"/>
  <c r="T15" i="18"/>
  <c r="V15" i="18"/>
  <c r="U8" i="18" l="1"/>
  <c r="S9" i="18"/>
  <c r="S8" i="18"/>
  <c r="R11" i="18"/>
  <c r="X9" i="18" l="1"/>
  <c r="Y9" i="18"/>
  <c r="AG6" i="18"/>
  <c r="Y11" i="18"/>
  <c r="AB6" i="18" s="1"/>
  <c r="X11" i="18"/>
  <c r="AH4" i="18"/>
  <c r="X8" i="18"/>
  <c r="X15" i="18" s="1"/>
  <c r="Y8" i="18"/>
  <c r="S15" i="18"/>
  <c r="AJ4" i="18"/>
  <c r="AJ8" i="18" s="1"/>
  <c r="U15" i="18"/>
  <c r="F77" i="18"/>
  <c r="E77" i="18"/>
  <c r="D77" i="18"/>
  <c r="C77" i="18"/>
  <c r="C11" i="18"/>
  <c r="D61" i="18"/>
  <c r="I61" i="18"/>
  <c r="H61" i="18"/>
  <c r="C61" i="18"/>
  <c r="I47" i="18"/>
  <c r="H47" i="18"/>
  <c r="D47" i="18"/>
  <c r="C47" i="18"/>
  <c r="D34" i="18"/>
  <c r="C34" i="18"/>
  <c r="T94" i="18"/>
  <c r="U94" i="18"/>
  <c r="V94" i="18"/>
  <c r="S94" i="18"/>
  <c r="K92" i="18"/>
  <c r="N92" i="18"/>
  <c r="M92" i="18"/>
  <c r="L92" i="18"/>
  <c r="D92" i="18"/>
  <c r="E92" i="18"/>
  <c r="F92" i="18"/>
  <c r="C92" i="18"/>
  <c r="I21" i="18"/>
  <c r="H21" i="18"/>
  <c r="D21" i="18"/>
  <c r="C21" i="18"/>
  <c r="AH8" i="18" l="1"/>
  <c r="AM4" i="18"/>
  <c r="AM6" i="18"/>
  <c r="AG8" i="18"/>
  <c r="AB4" i="18"/>
  <c r="Y15" i="18"/>
  <c r="AM8" i="18" l="1"/>
  <c r="AN5" i="17"/>
  <c r="AO5" i="17" s="1"/>
  <c r="AP5" i="17" s="1"/>
  <c r="AQ5" i="17" s="1"/>
  <c r="AR5" i="17" s="1"/>
  <c r="AS5" i="17" s="1"/>
  <c r="AT5" i="17" s="1"/>
  <c r="AU5" i="17" s="1"/>
  <c r="AV5" i="17" s="1"/>
  <c r="AW5" i="17" s="1"/>
  <c r="AN6" i="17"/>
  <c r="AO6" i="17" s="1"/>
  <c r="AP6" i="17" s="1"/>
  <c r="AQ6" i="17" s="1"/>
  <c r="AR6" i="17" s="1"/>
  <c r="AS6" i="17" s="1"/>
  <c r="AT6" i="17" s="1"/>
  <c r="AU6" i="17" s="1"/>
  <c r="AV6" i="17" s="1"/>
  <c r="AW6" i="17" s="1"/>
  <c r="AN7" i="17"/>
  <c r="AO7" i="17" s="1"/>
  <c r="AP7" i="17" s="1"/>
  <c r="AQ7" i="17" s="1"/>
  <c r="AR7" i="17" s="1"/>
  <c r="AS7" i="17" s="1"/>
  <c r="AT7" i="17" s="1"/>
  <c r="AU7" i="17" s="1"/>
  <c r="AV7" i="17" s="1"/>
  <c r="AW7" i="17" s="1"/>
  <c r="AN8" i="17"/>
  <c r="AO8" i="17" s="1"/>
  <c r="AP8" i="17" s="1"/>
  <c r="AQ8" i="17" s="1"/>
  <c r="AR8" i="17" s="1"/>
  <c r="AS8" i="17" s="1"/>
  <c r="AT8" i="17" s="1"/>
  <c r="AU8" i="17" s="1"/>
  <c r="AV8" i="17" s="1"/>
  <c r="AW8" i="17" s="1"/>
  <c r="AN9" i="17"/>
  <c r="AO9" i="17" s="1"/>
  <c r="AP9" i="17" s="1"/>
  <c r="AQ9" i="17" s="1"/>
  <c r="AR9" i="17" s="1"/>
  <c r="AS9" i="17" s="1"/>
  <c r="AT9" i="17" s="1"/>
  <c r="AU9" i="17" s="1"/>
  <c r="AV9" i="17" s="1"/>
  <c r="AW9" i="17" s="1"/>
  <c r="AN10" i="17"/>
  <c r="AO10" i="17" s="1"/>
  <c r="AP10" i="17" s="1"/>
  <c r="AQ10" i="17" s="1"/>
  <c r="AR10" i="17" s="1"/>
  <c r="AS10" i="17" s="1"/>
  <c r="AT10" i="17" s="1"/>
  <c r="AU10" i="17" s="1"/>
  <c r="AV10" i="17" s="1"/>
  <c r="AW10" i="17" s="1"/>
  <c r="AN4" i="17"/>
  <c r="AO4" i="17" s="1"/>
  <c r="AP4" i="17" s="1"/>
  <c r="AQ4" i="17" s="1"/>
  <c r="AR4" i="17" s="1"/>
  <c r="AS4" i="17" s="1"/>
  <c r="AT4" i="17" s="1"/>
  <c r="AU4" i="17" s="1"/>
  <c r="AV4" i="17" s="1"/>
  <c r="AW4" i="17" s="1"/>
  <c r="AN3" i="17"/>
  <c r="AO3" i="17" s="1"/>
  <c r="AP3" i="17" s="1"/>
  <c r="AQ3" i="17" s="1"/>
  <c r="AR3" i="17" s="1"/>
  <c r="AS3" i="17" s="1"/>
  <c r="AT3" i="17" s="1"/>
  <c r="AU3" i="17" s="1"/>
  <c r="AV3" i="17" s="1"/>
  <c r="AD3" i="17"/>
  <c r="AE3" i="17" s="1"/>
  <c r="AF3" i="17" s="1"/>
  <c r="AG3" i="17" s="1"/>
  <c r="AH3" i="17" s="1"/>
  <c r="AI3" i="17" s="1"/>
  <c r="AJ3" i="17" s="1"/>
  <c r="AK3" i="17" s="1"/>
  <c r="AL3" i="17" s="1"/>
  <c r="T3" i="17"/>
  <c r="U3" i="17" s="1"/>
  <c r="V3" i="17" s="1"/>
  <c r="W3" i="17" s="1"/>
  <c r="X3" i="17" s="1"/>
  <c r="Y3" i="17" s="1"/>
  <c r="Z3" i="17" s="1"/>
  <c r="AA3" i="17" s="1"/>
  <c r="AB3" i="17" s="1"/>
  <c r="J3" i="17"/>
  <c r="K3" i="17" s="1"/>
  <c r="L3" i="17" s="1"/>
  <c r="M3" i="17" s="1"/>
  <c r="N3" i="17" s="1"/>
  <c r="O3" i="17" s="1"/>
  <c r="P3" i="17" s="1"/>
  <c r="Q3" i="17" s="1"/>
  <c r="R3" i="17" s="1"/>
  <c r="E3" i="17"/>
  <c r="F3" i="17" s="1"/>
  <c r="G3" i="17" s="1"/>
  <c r="H3" i="17" s="1"/>
  <c r="X27" i="15" l="1"/>
  <c r="X26" i="15"/>
  <c r="X25" i="15"/>
  <c r="X24" i="15"/>
  <c r="X23" i="15"/>
  <c r="X17" i="15"/>
  <c r="X18" i="15"/>
  <c r="X16" i="15"/>
  <c r="X8" i="15"/>
  <c r="X9" i="15"/>
  <c r="X7" i="15"/>
  <c r="J9" i="15"/>
  <c r="J10" i="15"/>
  <c r="J11" i="15"/>
  <c r="N11" i="15"/>
  <c r="N10" i="15"/>
  <c r="N9" i="15"/>
  <c r="M11" i="15"/>
  <c r="M10" i="15"/>
  <c r="M9" i="15"/>
  <c r="L11" i="15"/>
  <c r="L10" i="15"/>
  <c r="L9" i="15"/>
  <c r="K11" i="15"/>
  <c r="K10" i="15"/>
  <c r="K9" i="15"/>
  <c r="K3" i="15"/>
  <c r="K6" i="15" s="1"/>
  <c r="C31" i="15" s="1"/>
  <c r="L3" i="15"/>
  <c r="L6" i="15" s="1"/>
  <c r="D30" i="15" s="1"/>
  <c r="M3" i="15"/>
  <c r="M6" i="15" s="1"/>
  <c r="E27" i="15" s="1"/>
  <c r="N3" i="15"/>
  <c r="N6" i="15" s="1"/>
  <c r="O3" i="15"/>
  <c r="O6" i="15" s="1"/>
  <c r="G30" i="15" s="1"/>
  <c r="J3" i="15"/>
  <c r="J6" i="15" s="1"/>
  <c r="B29" i="15" l="1"/>
  <c r="B27" i="15"/>
  <c r="X29" i="15"/>
  <c r="Z26" i="15" s="1"/>
  <c r="X19" i="15"/>
  <c r="Z17" i="15" s="1"/>
  <c r="F28" i="15"/>
  <c r="F31" i="15"/>
  <c r="B24" i="15"/>
  <c r="I4" i="3" s="1"/>
  <c r="B30" i="15"/>
  <c r="B31" i="15"/>
  <c r="G31" i="15"/>
  <c r="F30" i="15"/>
  <c r="E30" i="15"/>
  <c r="E31" i="15"/>
  <c r="C30" i="15"/>
  <c r="X11" i="15"/>
  <c r="Z9" i="15" s="1"/>
  <c r="D31" i="15"/>
  <c r="E29" i="15"/>
  <c r="E34" i="15" s="1"/>
  <c r="M8" i="15" s="1"/>
  <c r="M12" i="15" s="1"/>
  <c r="D26" i="15"/>
  <c r="D25" i="15"/>
  <c r="D24" i="15"/>
  <c r="I6" i="3" s="1"/>
  <c r="D23" i="15"/>
  <c r="D29" i="15"/>
  <c r="D34" i="15" s="1"/>
  <c r="C6" i="3" s="1"/>
  <c r="D28" i="15"/>
  <c r="H6" i="3" s="1"/>
  <c r="D27" i="15"/>
  <c r="G6" i="3" s="1"/>
  <c r="C25" i="15"/>
  <c r="C24" i="15"/>
  <c r="I5" i="3" s="1"/>
  <c r="C27" i="15"/>
  <c r="G5" i="3" s="1"/>
  <c r="C29" i="15"/>
  <c r="C34" i="15" s="1"/>
  <c r="C5" i="3" s="1"/>
  <c r="C28" i="15"/>
  <c r="H5" i="3" s="1"/>
  <c r="C23" i="15"/>
  <c r="C26" i="15"/>
  <c r="G23" i="15"/>
  <c r="G29" i="15"/>
  <c r="G34" i="15" s="1"/>
  <c r="C7" i="3" s="1"/>
  <c r="G26" i="15"/>
  <c r="G24" i="15"/>
  <c r="I7" i="3" s="1"/>
  <c r="G28" i="15"/>
  <c r="H7" i="3" s="1"/>
  <c r="G27" i="15"/>
  <c r="G7" i="3" s="1"/>
  <c r="G25" i="15"/>
  <c r="F29" i="15"/>
  <c r="F34" i="15" s="1"/>
  <c r="C3" i="3" s="1"/>
  <c r="E28" i="15"/>
  <c r="B25" i="15"/>
  <c r="B23" i="15"/>
  <c r="G4" i="3"/>
  <c r="F24" i="15"/>
  <c r="I3" i="3" s="1"/>
  <c r="B26" i="15"/>
  <c r="B28" i="15"/>
  <c r="H4" i="3" s="1"/>
  <c r="E23" i="15"/>
  <c r="F25" i="15"/>
  <c r="E24" i="15"/>
  <c r="F23" i="15"/>
  <c r="I23" i="15" s="1"/>
  <c r="F26" i="15"/>
  <c r="E25" i="15"/>
  <c r="F27" i="15"/>
  <c r="G3" i="3" s="1"/>
  <c r="E26" i="15"/>
  <c r="K8" i="15" l="1"/>
  <c r="K12" i="15" s="1"/>
  <c r="O8" i="15"/>
  <c r="O12" i="15" s="1"/>
  <c r="O13" i="15" s="1"/>
  <c r="G9" i="3"/>
  <c r="I9" i="3"/>
  <c r="N8" i="15"/>
  <c r="N12" i="15" s="1"/>
  <c r="N13" i="15" s="1"/>
  <c r="H9" i="3"/>
  <c r="B34" i="15"/>
  <c r="C4" i="3" s="1"/>
  <c r="Z16" i="15"/>
  <c r="L8" i="15"/>
  <c r="L12" i="15" s="1"/>
  <c r="L13" i="15" s="1"/>
  <c r="Z18" i="15"/>
  <c r="H3" i="3"/>
  <c r="Z23" i="15"/>
  <c r="Z25" i="15"/>
  <c r="Z24" i="15"/>
  <c r="Z27" i="15"/>
  <c r="M13" i="15"/>
  <c r="K13" i="15"/>
  <c r="Z8" i="15"/>
  <c r="Z7" i="15"/>
  <c r="J8" i="15" l="1"/>
  <c r="J12" i="15" s="1"/>
  <c r="J13" i="15" s="1"/>
  <c r="I10" i="3"/>
  <c r="G10" i="3"/>
  <c r="H10" i="3"/>
  <c r="J6" i="2" l="1"/>
  <c r="J11" i="2"/>
  <c r="J12" i="2"/>
  <c r="J13" i="2"/>
  <c r="J14" i="2"/>
  <c r="J15" i="2"/>
  <c r="J10" i="2"/>
  <c r="J7" i="2"/>
  <c r="J8" i="2"/>
  <c r="J5" i="2"/>
  <c r="AM5" i="1" l="1"/>
  <c r="AN5" i="1" s="1"/>
  <c r="AO5" i="1" s="1"/>
  <c r="AP5" i="1" s="1"/>
  <c r="AQ5" i="1" s="1"/>
  <c r="AR5" i="1" s="1"/>
  <c r="AS5" i="1" s="1"/>
  <c r="AT5" i="1" s="1"/>
  <c r="AU5" i="1" s="1"/>
  <c r="AC5" i="1"/>
  <c r="AD5" i="1" s="1"/>
  <c r="AE5" i="1" s="1"/>
  <c r="AF5" i="1" s="1"/>
  <c r="AG5" i="1" s="1"/>
  <c r="AH5" i="1" s="1"/>
  <c r="AI5" i="1" s="1"/>
  <c r="AJ5" i="1" s="1"/>
  <c r="AK5" i="1" s="1"/>
  <c r="S5" i="1"/>
  <c r="T5" i="1" s="1"/>
  <c r="U5" i="1" s="1"/>
  <c r="V5" i="1" s="1"/>
  <c r="W5" i="1" s="1"/>
  <c r="X5" i="1" s="1"/>
  <c r="Y5" i="1" s="1"/>
  <c r="Z5" i="1" s="1"/>
  <c r="AA5" i="1" s="1"/>
  <c r="I5" i="1"/>
  <c r="J5" i="1" s="1"/>
  <c r="K5" i="1" s="1"/>
  <c r="L5" i="1" s="1"/>
  <c r="M5" i="1" s="1"/>
  <c r="N5" i="1" s="1"/>
  <c r="O5" i="1" s="1"/>
  <c r="P5" i="1" s="1"/>
  <c r="Q5" i="1" s="1"/>
  <c r="D5" i="1"/>
  <c r="E5" i="1" s="1"/>
  <c r="F5" i="1" s="1"/>
  <c r="G5" i="1" s="1"/>
  <c r="AV9" i="1"/>
  <c r="AL8" i="1"/>
  <c r="AV8" i="1" s="1"/>
  <c r="AL7" i="1"/>
  <c r="AL6" i="1"/>
  <c r="AV10" i="1" l="1"/>
  <c r="AV6" i="1"/>
  <c r="AL14" i="1"/>
  <c r="AV7" i="1"/>
  <c r="AV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 Qiang</author>
  </authors>
  <commentList>
    <comment ref="B1" authorId="0" shapeId="0" xr:uid="{00000000-0006-0000-0300-000001000000}">
      <text>
        <r>
          <rPr>
            <b/>
            <sz val="9"/>
            <color indexed="81"/>
            <rFont val="Tahoma"/>
            <family val="2"/>
          </rPr>
          <t>Dai, Qiang:</t>
        </r>
        <r>
          <rPr>
            <sz val="9"/>
            <color indexed="81"/>
            <rFont val="Tahoma"/>
            <family val="2"/>
          </rPr>
          <t xml:space="preserve">
Based on BatPaC v3.1 EV Battery 5</t>
        </r>
      </text>
    </comment>
    <comment ref="B3" authorId="0" shapeId="0" xr:uid="{00000000-0006-0000-0300-00000200000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C3" authorId="0" shapeId="0" xr:uid="{00000000-0006-0000-0300-000003000000}">
      <text>
        <r>
          <rPr>
            <b/>
            <sz val="9"/>
            <color indexed="81"/>
            <rFont val="Tahoma"/>
            <family val="2"/>
          </rPr>
          <t>Dai, Qiang:</t>
        </r>
        <r>
          <rPr>
            <sz val="9"/>
            <color indexed="81"/>
            <rFont val="Tahoma"/>
            <family val="2"/>
          </rPr>
          <t xml:space="preserve">
0.168 kWh gross energy, 0.143 kWh usable energy</t>
        </r>
      </text>
    </comment>
    <comment ref="D3" authorId="0" shapeId="0" xr:uid="{00000000-0006-0000-0300-000004000000}">
      <text>
        <r>
          <rPr>
            <b/>
            <sz val="9"/>
            <color indexed="81"/>
            <rFont val="Tahoma"/>
            <family val="2"/>
          </rPr>
          <t>Dai, Qiang:</t>
        </r>
        <r>
          <rPr>
            <sz val="9"/>
            <color indexed="81"/>
            <rFont val="Tahoma"/>
            <family val="2"/>
          </rPr>
          <t xml:space="preserve">
0.168 kWh gross energy, 0.143 kWh usable energy</t>
        </r>
      </text>
    </comment>
    <comment ref="E3" authorId="0" shapeId="0" xr:uid="{00000000-0006-0000-0300-000005000000}">
      <text>
        <r>
          <rPr>
            <b/>
            <sz val="9"/>
            <color rgb="FF000000"/>
            <rFont val="Tahoma"/>
            <family val="2"/>
          </rPr>
          <t>Dai, Qiang:</t>
        </r>
        <r>
          <rPr>
            <sz val="9"/>
            <color rgb="FF000000"/>
            <rFont val="Tahoma"/>
            <family val="2"/>
          </rPr>
          <t xml:space="preserve">
</t>
        </r>
        <r>
          <rPr>
            <sz val="9"/>
            <color rgb="FF000000"/>
            <rFont val="Tahoma"/>
            <family val="2"/>
          </rPr>
          <t>0.168 kWh gross energy, 0.143 kWh usable energy</t>
        </r>
      </text>
    </comment>
    <comment ref="F3" authorId="0" shapeId="0" xr:uid="{00000000-0006-0000-0300-000006000000}">
      <text>
        <r>
          <rPr>
            <b/>
            <sz val="9"/>
            <color indexed="81"/>
            <rFont val="Tahoma"/>
            <family val="2"/>
          </rPr>
          <t>Dai, Qiang:</t>
        </r>
        <r>
          <rPr>
            <sz val="9"/>
            <color indexed="81"/>
            <rFont val="Tahoma"/>
            <family val="2"/>
          </rPr>
          <t xml:space="preserve">
0.168 kWh gross energy, 0.143 kWh usable energy</t>
        </r>
      </text>
    </comment>
    <comment ref="G3" authorId="0" shapeId="0" xr:uid="{00000000-0006-0000-0300-000007000000}">
      <text>
        <r>
          <rPr>
            <b/>
            <sz val="9"/>
            <color indexed="81"/>
            <rFont val="Tahoma"/>
            <family val="2"/>
          </rPr>
          <t>Dai, Qiang:</t>
        </r>
        <r>
          <rPr>
            <sz val="9"/>
            <color indexed="81"/>
            <rFont val="Tahoma"/>
            <family val="2"/>
          </rPr>
          <t xml:space="preserve">
0.168 kWh gross energy, 0.143 kWh usable energy</t>
        </r>
      </text>
    </comment>
    <comment ref="B6" authorId="0" shapeId="0" xr:uid="{00000000-0006-0000-0300-000008000000}">
      <text>
        <r>
          <rPr>
            <b/>
            <sz val="9"/>
            <color rgb="FF000000"/>
            <rFont val="Tahoma"/>
            <family val="2"/>
          </rPr>
          <t>Dai, Qiang:</t>
        </r>
        <r>
          <rPr>
            <sz val="9"/>
            <color rgb="FF000000"/>
            <rFont val="Tahoma"/>
            <family val="2"/>
          </rPr>
          <t xml:space="preserve">
</t>
        </r>
        <r>
          <rPr>
            <sz val="9"/>
            <color rgb="FF000000"/>
            <rFont val="Tahoma"/>
            <family val="2"/>
          </rPr>
          <t>Based on BatPaC v3.1 EV Battery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Lorenzo Usai</author>
  </authors>
  <commentList>
    <comment ref="C5" authorId="0" shapeId="0" xr:uid="{00000000-0006-0000-0700-000001000000}">
      <text>
        <r>
          <rPr>
            <b/>
            <sz val="9"/>
            <color indexed="81"/>
            <rFont val="Tahoma"/>
            <family val="2"/>
          </rPr>
          <t>Lorenzo Usai:</t>
        </r>
        <r>
          <rPr>
            <sz val="9"/>
            <color indexed="81"/>
            <rFont val="Tahoma"/>
            <family val="2"/>
          </rPr>
          <t xml:space="preserve">
65-70</t>
        </r>
      </text>
    </comment>
    <comment ref="E18" authorId="0" shapeId="0" xr:uid="{00000000-0006-0000-0700-000002000000}">
      <text>
        <r>
          <rPr>
            <b/>
            <sz val="9"/>
            <color indexed="81"/>
            <rFont val="Tahoma"/>
            <family val="2"/>
          </rPr>
          <t>Lorenzo Usai:</t>
        </r>
        <r>
          <rPr>
            <sz val="9"/>
            <color indexed="81"/>
            <rFont val="Tahoma"/>
            <family val="2"/>
          </rPr>
          <t xml:space="preserve">
65-70</t>
        </r>
      </text>
    </comment>
  </commentList>
</comments>
</file>

<file path=xl/sharedStrings.xml><?xml version="1.0" encoding="utf-8"?>
<sst xmlns="http://schemas.openxmlformats.org/spreadsheetml/2006/main" count="492" uniqueCount="229">
  <si>
    <t>chemistry</t>
  </si>
  <si>
    <t>LCO</t>
  </si>
  <si>
    <t>NCA</t>
  </si>
  <si>
    <t>NMC 532</t>
  </si>
  <si>
    <t>NCM 622</t>
  </si>
  <si>
    <t>LMO</t>
  </si>
  <si>
    <t>LFP</t>
  </si>
  <si>
    <t>Check</t>
  </si>
  <si>
    <t>Segment</t>
  </si>
  <si>
    <t>mean</t>
  </si>
  <si>
    <t>std</t>
  </si>
  <si>
    <t>min</t>
  </si>
  <si>
    <t>max</t>
  </si>
  <si>
    <t>variance</t>
  </si>
  <si>
    <t>A</t>
  </si>
  <si>
    <t>B</t>
  </si>
  <si>
    <t>C</t>
  </si>
  <si>
    <t>D</t>
  </si>
  <si>
    <t>E</t>
  </si>
  <si>
    <t>F</t>
  </si>
  <si>
    <t>JB</t>
  </si>
  <si>
    <t>JC</t>
  </si>
  <si>
    <t>JD</t>
  </si>
  <si>
    <t>JE</t>
  </si>
  <si>
    <t>JF</t>
  </si>
  <si>
    <t>Cell</t>
  </si>
  <si>
    <t>Pack</t>
  </si>
  <si>
    <t>Li</t>
  </si>
  <si>
    <t>Co</t>
  </si>
  <si>
    <t>Ni</t>
  </si>
  <si>
    <t>Mn</t>
  </si>
  <si>
    <t>Cu</t>
  </si>
  <si>
    <t>Al</t>
  </si>
  <si>
    <t>Graphite</t>
  </si>
  <si>
    <t>Steel</t>
  </si>
  <si>
    <t>O</t>
  </si>
  <si>
    <t>Reuters</t>
  </si>
  <si>
    <t>1.2 Cell size</t>
  </si>
  <si>
    <t>Default</t>
  </si>
  <si>
    <t>NMC(111)</t>
  </si>
  <si>
    <t>NMC(622)</t>
  </si>
  <si>
    <t>NMC(811)</t>
  </si>
  <si>
    <t>Cell energy (kWh)</t>
  </si>
  <si>
    <t>Cell mass (kg)</t>
  </si>
  <si>
    <t>1.3 Cell material composition (wt%)</t>
  </si>
  <si>
    <t>Active cathode material</t>
  </si>
  <si>
    <t>Carbon black</t>
  </si>
  <si>
    <t>Binder: PVDF</t>
  </si>
  <si>
    <t>Copper</t>
  </si>
  <si>
    <t>Aluminum</t>
  </si>
  <si>
    <t>Electrolyte: LiPF6</t>
  </si>
  <si>
    <t>Electrolyte: EC</t>
  </si>
  <si>
    <t>Electrolyte: DMC</t>
  </si>
  <si>
    <t>Plastic: PP</t>
  </si>
  <si>
    <t>Plastic: PE</t>
  </si>
  <si>
    <t>Plastic: PET</t>
  </si>
  <si>
    <t>Energy density (kWh/kg)</t>
  </si>
  <si>
    <t>kg/kWh</t>
  </si>
  <si>
    <t>Lithium</t>
  </si>
  <si>
    <t>Cobalt</t>
  </si>
  <si>
    <t>Nickel</t>
  </si>
  <si>
    <t>Manganese</t>
  </si>
  <si>
    <t>Other electrolyte</t>
  </si>
  <si>
    <t>Plastics</t>
  </si>
  <si>
    <t>Difference</t>
  </si>
  <si>
    <t>LiMn2O4</t>
  </si>
  <si>
    <t>Commercial status, according to Nitta</t>
  </si>
  <si>
    <t>LiPF6</t>
  </si>
  <si>
    <t>P</t>
  </si>
  <si>
    <t>Extra al for NCA</t>
  </si>
  <si>
    <t>Element ratio by mass</t>
  </si>
  <si>
    <t>Fe</t>
  </si>
  <si>
    <t>Total</t>
  </si>
  <si>
    <t>Al_pack</t>
  </si>
  <si>
    <t>Cu_pack</t>
  </si>
  <si>
    <t>NCM 811</t>
  </si>
  <si>
    <t>J</t>
  </si>
  <si>
    <t>BEVs</t>
  </si>
  <si>
    <t>PHEVs</t>
  </si>
  <si>
    <t>Karabelli et al., 2020 - Tackling xEV battery chemistry in view of raw material supply shortfalls</t>
  </si>
  <si>
    <t>Scenario 1</t>
  </si>
  <si>
    <t>NMC 111</t>
  </si>
  <si>
    <t>NMC 622</t>
  </si>
  <si>
    <t>NMC 811</t>
  </si>
  <si>
    <t>Scenario 2</t>
  </si>
  <si>
    <t>Scenario 1 (experts opinion)</t>
  </si>
  <si>
    <t>Scenario 2 (realistic)</t>
  </si>
  <si>
    <t>Xu et al., 2020 - Future material demand for automotive Li based batteries</t>
  </si>
  <si>
    <t>NCM 532</t>
  </si>
  <si>
    <t>NCM 622 (Si-C)</t>
  </si>
  <si>
    <t>NMC 811 (Si-C)</t>
  </si>
  <si>
    <t>NMC 955 (Si-C)</t>
  </si>
  <si>
    <t>Scenario 3</t>
  </si>
  <si>
    <t>Li-S</t>
  </si>
  <si>
    <t>Li-Air</t>
  </si>
  <si>
    <t>Roland Berger, e-mobility index 2018</t>
  </si>
  <si>
    <t>Other (LFP/LCO/LTO)</t>
  </si>
  <si>
    <t>NCA (&lt;90% Ni)</t>
  </si>
  <si>
    <t>NCA (&gt;90% Ni)</t>
  </si>
  <si>
    <t>NCMA</t>
  </si>
  <si>
    <t>McKinsey 2018 - Metal mining constraints on the electric mobility horizon</t>
  </si>
  <si>
    <t>NCM 111</t>
  </si>
  <si>
    <t>Scenario 1 (China)</t>
  </si>
  <si>
    <t>Scenario 2 (RoW)</t>
  </si>
  <si>
    <t>McKinsey 2018 - Li and Co, a tale of 2 commodities</t>
  </si>
  <si>
    <t>NCM 955</t>
  </si>
  <si>
    <t>Future battery industries, 2019 - Li-ion battery cathode manufacture in Australia</t>
  </si>
  <si>
    <t>NCM 111/523</t>
  </si>
  <si>
    <t>Others</t>
  </si>
  <si>
    <t>The Faraday institution 2019 - Li, Co and Ni: The gold rush of the 21st century</t>
  </si>
  <si>
    <t xml:space="preserve">NMC 955 </t>
  </si>
  <si>
    <t>Karabelli 1</t>
  </si>
  <si>
    <t>Australia</t>
  </si>
  <si>
    <t>Roland berger</t>
  </si>
  <si>
    <t>Karabelli</t>
  </si>
  <si>
    <t>McKinsey (average)</t>
  </si>
  <si>
    <t>Faraday Institution</t>
  </si>
  <si>
    <t>Karabelli 2</t>
  </si>
  <si>
    <t>Xu et al.</t>
  </si>
  <si>
    <t>Mckinsey 2</t>
  </si>
  <si>
    <t>Xu et al., 2020 - 2</t>
  </si>
  <si>
    <t xml:space="preserve">Xu et al., 2020 - 1 </t>
  </si>
  <si>
    <t xml:space="preserve">Xu et al., 2020 - 3 </t>
  </si>
  <si>
    <t>Benchmark minerals</t>
  </si>
  <si>
    <t>AVG</t>
  </si>
  <si>
    <t>MEDIAN</t>
  </si>
  <si>
    <t>NCM 111/532</t>
  </si>
  <si>
    <t>Faraday institution</t>
  </si>
  <si>
    <t>Xu et al. - Scenario 1</t>
  </si>
  <si>
    <t>Xu et al. - Scenario 2</t>
  </si>
  <si>
    <t>Xu et al. - Scenario 3</t>
  </si>
  <si>
    <t>Values in tons</t>
  </si>
  <si>
    <t>Prod</t>
  </si>
  <si>
    <t>Battery CAPEX</t>
  </si>
  <si>
    <t>Gigafactory 1</t>
  </si>
  <si>
    <t>Size [GWh]</t>
  </si>
  <si>
    <t>Investment</t>
  </si>
  <si>
    <t>https://www.slashgear.com/teslas-nevada-gigafactory-to-cost-5-billion-16365021/</t>
  </si>
  <si>
    <t>Northvolt</t>
  </si>
  <si>
    <t>https://www.reuters.com/article/us-northvolt-funding/battery-maker-northvolt-raises-600-million-in-private-placement-idUSKBN26K185</t>
  </si>
  <si>
    <t>https://cleantechnica.com/2020/08/06/northvolt-3-billion-for-2-battery-gigafactories-in-europe/</t>
  </si>
  <si>
    <t>LG Chem Wroclaw</t>
  </si>
  <si>
    <t>https://www.ebrd.com/news/2019/lg-chem-battery-gigafactory-in-poland-to-be-powered-by-ebrd.html</t>
  </si>
  <si>
    <t>Imperium3 Townsville</t>
  </si>
  <si>
    <t>https://thedriven.io/2020/08/17/queensland-ev-battery-gigafactory-edges-closer-to-realisation/</t>
  </si>
  <si>
    <t>82% of initial investment is capital</t>
  </si>
  <si>
    <t>https://www.cstep.in/drupal/sites/default/files/2019-01/CSTEP_RR_LiB_Indigenisation_July2018.pdf</t>
  </si>
  <si>
    <t>Study on CAPEX</t>
  </si>
  <si>
    <t>https://www.sciencedirect.com/science/article/abs/pii/S0306261916312740</t>
  </si>
  <si>
    <t>https://www.diva-portal.org/smash/get/diva2:1254196/FULLTEXT01.pdf</t>
  </si>
  <si>
    <t>https://www.mckinsey.com/~/media/McKinsey/Industries/Automotive%20and%20Assembly/Our%20Insights/Improving%20battery%20electric%20vehicle%20profitability%20through%20reduced%20structural%20costs/Improving-battery-electric-vehicle-profitability-Final.pdf</t>
  </si>
  <si>
    <t>file:///C:/Users/lorenzou/Downloads/lbnl-2001314.pdf</t>
  </si>
  <si>
    <t>Benchmark Minerals</t>
  </si>
  <si>
    <t>NCM</t>
  </si>
  <si>
    <t>Source: IEA. All Rights Reserved</t>
  </si>
  <si>
    <t>This data is subject to the IEA's terms and conditions: https://www.iea.org/t_c/termsandconditions/</t>
  </si>
  <si>
    <t>Units: USD/Wh capacity</t>
  </si>
  <si>
    <t>Annual averages based on comissioning year</t>
  </si>
  <si>
    <t>Illustrative trend</t>
  </si>
  <si>
    <t>USD/kWh</t>
  </si>
  <si>
    <t>USD/GWh</t>
  </si>
  <si>
    <t>IEA 2019</t>
  </si>
  <si>
    <t>BEV</t>
  </si>
  <si>
    <t>PHEV</t>
  </si>
  <si>
    <t>Rocky mountain institute</t>
  </si>
  <si>
    <t>Rolnd Zenn's Twitter</t>
  </si>
  <si>
    <t>CAPEX ($ million)</t>
  </si>
  <si>
    <t>Capacity (GWh)</t>
  </si>
  <si>
    <t>Customer qualification plant</t>
  </si>
  <si>
    <t>Gigafactory 2</t>
  </si>
  <si>
    <t>Joint Venture Giga 1</t>
  </si>
  <si>
    <t>Giga 3</t>
  </si>
  <si>
    <t>Giga 4</t>
  </si>
  <si>
    <t>Giga 5</t>
  </si>
  <si>
    <t>Joint Venture Giga 2</t>
  </si>
  <si>
    <t>Giga 6</t>
  </si>
  <si>
    <t>$ million/GWh</t>
  </si>
  <si>
    <t>Start</t>
  </si>
  <si>
    <t>Freyr</t>
  </si>
  <si>
    <t>Tesla</t>
  </si>
  <si>
    <t>Jacob's data</t>
  </si>
  <si>
    <t>Gigafactory</t>
  </si>
  <si>
    <t>Maintenance</t>
  </si>
  <si>
    <t>Energy</t>
  </si>
  <si>
    <t>Labor</t>
  </si>
  <si>
    <t>Materials</t>
  </si>
  <si>
    <t>OPEX (million $/yr)</t>
  </si>
  <si>
    <t>Total OPEX</t>
  </si>
  <si>
    <t>Employees</t>
  </si>
  <si>
    <t>Employees/GWh</t>
  </si>
  <si>
    <t>IEA</t>
  </si>
  <si>
    <t>Jacob's</t>
  </si>
  <si>
    <t>CATL</t>
  </si>
  <si>
    <t>Job loss</t>
  </si>
  <si>
    <t>Employment</t>
  </si>
  <si>
    <t>https://www.pwc.co.uk/economic-services/assets/international-impact-of-automation-feb-2018.pdf</t>
  </si>
  <si>
    <t>Faraday</t>
  </si>
  <si>
    <t>https://faraday.ac.uk/wp-content/uploads/2019/08/Faraday_Insights-2_FINAL.pdf</t>
  </si>
  <si>
    <t>UK</t>
  </si>
  <si>
    <t>GWh</t>
  </si>
  <si>
    <t>FREYR</t>
  </si>
  <si>
    <t>JRC</t>
  </si>
  <si>
    <t>NPE</t>
  </si>
  <si>
    <t>Panasonic (china)</t>
  </si>
  <si>
    <t>TerraE</t>
  </si>
  <si>
    <t>Boston Energy and Innovaton</t>
  </si>
  <si>
    <t>VW (Germany)</t>
  </si>
  <si>
    <t>ICCT</t>
  </si>
  <si>
    <t>Pb-A batteries - Only EU</t>
  </si>
  <si>
    <t>Bar3, 20.68965517241382</t>
  </si>
  <si>
    <t>Bar4, 33.21234119782139</t>
  </si>
  <si>
    <t>Bar5, 47.36842105263051</t>
  </si>
  <si>
    <t>Bar6, 64.79128856624173</t>
  </si>
  <si>
    <t>Bar7, 83.84754990925389</t>
  </si>
  <si>
    <t>https://www.sciencedirect.com/science/article/pii/S0921344920304390?via%3Dihub#sec0025</t>
  </si>
  <si>
    <t>Raw data</t>
  </si>
  <si>
    <t xml:space="preserve">Check </t>
  </si>
  <si>
    <t>Recalculated market share of sales by segment for the period 2015-2020</t>
  </si>
  <si>
    <t>Personal computers</t>
  </si>
  <si>
    <t>Smartphones</t>
  </si>
  <si>
    <t>Solar PV</t>
  </si>
  <si>
    <t>Li-ion batteries - China</t>
  </si>
  <si>
    <t>Scenario for market share of chemistries from 2015 until 2050</t>
  </si>
  <si>
    <t>Initial battery size of BEVs and PHEVs in 2015 in each vehicle segment. Furthermore, for BEVs we defined the average battery size in each segment in 2050, based on Baars et al.</t>
  </si>
  <si>
    <t>https://doi.org/10.1038/s41893-020-00607-0</t>
  </si>
  <si>
    <t xml:space="preserve">Source for battery size in 2050: </t>
  </si>
  <si>
    <t xml:space="preserve">Source for average battery size: </t>
  </si>
  <si>
    <t>https://ev-database.org</t>
  </si>
  <si>
    <t>Pillot Cristophe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</si>
</sst>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
    <numFmt numFmtId="166"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sz val="10"/>
      <name val="Times New Roman"/>
      <family val="1"/>
    </font>
    <font>
      <u/>
      <sz val="11"/>
      <color theme="10"/>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auto="1"/>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78">
    <xf numFmtId="0" fontId="0" fillId="0" borderId="0" xfId="0"/>
    <xf numFmtId="0" fontId="2" fillId="0" borderId="0" xfId="0" applyFont="1"/>
    <xf numFmtId="164" fontId="0" fillId="0" borderId="0" xfId="1" applyNumberFormat="1" applyFont="1"/>
    <xf numFmtId="164" fontId="0" fillId="0" borderId="0" xfId="0" applyNumberFormat="1"/>
    <xf numFmtId="9" fontId="2" fillId="0" borderId="0" xfId="0" applyNumberFormat="1" applyFont="1"/>
    <xf numFmtId="0" fontId="0" fillId="0" borderId="0" xfId="0" applyAlignment="1"/>
    <xf numFmtId="9" fontId="0" fillId="0" borderId="0" xfId="1" applyFont="1"/>
    <xf numFmtId="165" fontId="0" fillId="0" borderId="0" xfId="1" applyNumberFormat="1" applyFont="1"/>
    <xf numFmtId="9" fontId="0" fillId="0" borderId="0" xfId="0" applyNumberFormat="1"/>
    <xf numFmtId="0" fontId="0" fillId="0" borderId="2" xfId="0" applyBorder="1"/>
    <xf numFmtId="0" fontId="0" fillId="0" borderId="0" xfId="0" applyBorder="1"/>
    <xf numFmtId="0" fontId="2" fillId="0" borderId="1" xfId="0" applyFont="1" applyBorder="1" applyAlignment="1">
      <alignment horizontal="center"/>
    </xf>
    <xf numFmtId="166" fontId="0" fillId="0" borderId="0" xfId="0" applyNumberFormat="1"/>
    <xf numFmtId="0" fontId="0" fillId="0" borderId="0" xfId="0" applyProtection="1">
      <protection locked="0"/>
    </xf>
    <xf numFmtId="166" fontId="1" fillId="0" borderId="1" xfId="0" applyNumberFormat="1" applyFont="1" applyBorder="1" applyProtection="1">
      <protection locked="0"/>
    </xf>
    <xf numFmtId="166" fontId="0" fillId="0" borderId="1" xfId="0" applyNumberFormat="1" applyBorder="1" applyProtection="1">
      <protection locked="0"/>
    </xf>
    <xf numFmtId="164" fontId="1" fillId="0" borderId="0" xfId="1" applyNumberFormat="1" applyFont="1" applyBorder="1" applyProtection="1">
      <protection locked="0"/>
    </xf>
    <xf numFmtId="164" fontId="0" fillId="0" borderId="0" xfId="1" applyNumberFormat="1" applyFont="1" applyProtection="1">
      <protection locked="0"/>
    </xf>
    <xf numFmtId="164" fontId="0" fillId="0" borderId="0" xfId="0" applyNumberFormat="1" applyProtection="1">
      <protection locked="0"/>
    </xf>
    <xf numFmtId="164" fontId="1" fillId="0" borderId="1" xfId="1" applyNumberFormat="1" applyFont="1" applyBorder="1" applyProtection="1">
      <protection locked="0"/>
    </xf>
    <xf numFmtId="164" fontId="0" fillId="0" borderId="1" xfId="1" applyNumberFormat="1" applyFont="1" applyBorder="1" applyProtection="1">
      <protection locked="0"/>
    </xf>
    <xf numFmtId="0" fontId="2" fillId="2" borderId="0" xfId="0" applyFont="1" applyFill="1" applyProtection="1">
      <protection locked="0"/>
    </xf>
    <xf numFmtId="0" fontId="0" fillId="3" borderId="7" xfId="0" applyFill="1" applyBorder="1" applyProtection="1">
      <protection locked="0"/>
    </xf>
    <xf numFmtId="0" fontId="0" fillId="3" borderId="4"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4" borderId="8" xfId="0" applyFill="1" applyBorder="1" applyProtection="1">
      <protection locked="0"/>
    </xf>
    <xf numFmtId="0" fontId="0" fillId="4" borderId="9" xfId="0" applyFill="1" applyBorder="1" applyProtection="1">
      <protection locked="0"/>
    </xf>
    <xf numFmtId="0" fontId="0" fillId="4" borderId="7" xfId="0" applyFill="1" applyBorder="1" applyProtection="1">
      <protection locked="0"/>
    </xf>
    <xf numFmtId="0" fontId="0" fillId="4" borderId="10" xfId="0" applyFill="1" applyBorder="1" applyProtection="1">
      <protection locked="0"/>
    </xf>
    <xf numFmtId="166" fontId="1" fillId="0" borderId="11" xfId="0" applyNumberFormat="1" applyFont="1" applyBorder="1" applyProtection="1">
      <protection locked="0"/>
    </xf>
    <xf numFmtId="166" fontId="1" fillId="0" borderId="12" xfId="0" applyNumberFormat="1" applyFont="1" applyBorder="1" applyProtection="1">
      <protection locked="0"/>
    </xf>
    <xf numFmtId="166" fontId="0" fillId="0" borderId="13" xfId="0" applyNumberFormat="1" applyBorder="1" applyProtection="1">
      <protection locked="0"/>
    </xf>
    <xf numFmtId="0" fontId="2" fillId="2" borderId="4" xfId="0" applyFont="1" applyFill="1" applyBorder="1" applyProtection="1">
      <protection locked="0"/>
    </xf>
    <xf numFmtId="166" fontId="0" fillId="0" borderId="4" xfId="0" applyNumberFormat="1" applyBorder="1"/>
    <xf numFmtId="166" fontId="0" fillId="0" borderId="5" xfId="0" applyNumberFormat="1" applyBorder="1"/>
    <xf numFmtId="166" fontId="0" fillId="0" borderId="6" xfId="0" applyNumberFormat="1" applyBorder="1"/>
    <xf numFmtId="0" fontId="0" fillId="0" borderId="5" xfId="0" applyBorder="1"/>
    <xf numFmtId="0" fontId="0" fillId="0" borderId="6" xfId="0" applyBorder="1"/>
    <xf numFmtId="2" fontId="0" fillId="0" borderId="0" xfId="0" applyNumberFormat="1"/>
    <xf numFmtId="2" fontId="1" fillId="0" borderId="0" xfId="1" applyNumberFormat="1" applyFont="1" applyBorder="1" applyProtection="1">
      <protection locked="0"/>
    </xf>
    <xf numFmtId="0" fontId="0" fillId="0" borderId="0" xfId="0" applyFill="1" applyBorder="1" applyProtection="1">
      <protection locked="0"/>
    </xf>
    <xf numFmtId="0" fontId="0" fillId="0" borderId="0" xfId="0" applyFill="1" applyBorder="1"/>
    <xf numFmtId="0" fontId="0" fillId="0" borderId="1" xfId="0" applyFill="1" applyBorder="1" applyProtection="1">
      <protection locked="0"/>
    </xf>
    <xf numFmtId="0" fontId="2" fillId="0" borderId="14" xfId="0" applyFont="1" applyBorder="1"/>
    <xf numFmtId="0" fontId="2" fillId="0" borderId="3" xfId="0" applyFont="1" applyBorder="1"/>
    <xf numFmtId="0" fontId="2" fillId="0" borderId="1" xfId="0" applyFont="1" applyBorder="1"/>
    <xf numFmtId="0" fontId="0" fillId="5" borderId="0" xfId="0" applyFill="1"/>
    <xf numFmtId="0" fontId="0" fillId="6" borderId="0" xfId="0" applyFill="1"/>
    <xf numFmtId="1" fontId="0" fillId="0" borderId="0" xfId="0" applyNumberFormat="1"/>
    <xf numFmtId="10" fontId="0" fillId="0" borderId="0" xfId="0" applyNumberFormat="1"/>
    <xf numFmtId="0" fontId="2" fillId="0" borderId="0" xfId="0" applyFont="1" applyAlignment="1"/>
    <xf numFmtId="1" fontId="7" fillId="0" borderId="7" xfId="0" applyNumberFormat="1" applyFont="1" applyFill="1" applyBorder="1" applyAlignment="1">
      <alignment horizontal="center" vertical="center"/>
    </xf>
    <xf numFmtId="11" fontId="0" fillId="0" borderId="0" xfId="0" applyNumberFormat="1"/>
    <xf numFmtId="0" fontId="8" fillId="0" borderId="0" xfId="2"/>
    <xf numFmtId="49" fontId="2" fillId="0" borderId="0" xfId="0" applyNumberFormat="1" applyFont="1"/>
    <xf numFmtId="2" fontId="0" fillId="0" borderId="2" xfId="0" applyNumberFormat="1" applyBorder="1"/>
    <xf numFmtId="2" fontId="0" fillId="0" borderId="0" xfId="0" applyNumberFormat="1" applyBorder="1"/>
    <xf numFmtId="2" fontId="0" fillId="7" borderId="0" xfId="0" applyNumberFormat="1" applyFill="1"/>
    <xf numFmtId="0" fontId="0" fillId="0" borderId="0" xfId="0" applyBorder="1" applyAlignment="1">
      <alignment wrapText="1"/>
    </xf>
    <xf numFmtId="0" fontId="8" fillId="0" borderId="0" xfId="2" applyBorder="1" applyAlignment="1"/>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 xfId="0" applyFont="1" applyBorder="1" applyAlignment="1">
      <alignment horizontal="center"/>
    </xf>
    <xf numFmtId="0" fontId="2" fillId="0" borderId="3" xfId="0" applyFont="1" applyBorder="1" applyAlignment="1">
      <alignment horizontal="center"/>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0" fillId="2" borderId="6" xfId="0" applyFill="1" applyBorder="1" applyAlignment="1" applyProtection="1">
      <alignment horizontal="center"/>
      <protection locked="0"/>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CAPEX!$D$3:$D$7</c:f>
              <c:numCache>
                <c:formatCode>General</c:formatCode>
                <c:ptCount val="5"/>
                <c:pt idx="0">
                  <c:v>5000000000</c:v>
                </c:pt>
                <c:pt idx="1">
                  <c:v>3600000000</c:v>
                </c:pt>
                <c:pt idx="2">
                  <c:v>2800000000</c:v>
                </c:pt>
                <c:pt idx="3">
                  <c:v>1920000000</c:v>
                </c:pt>
                <c:pt idx="4">
                  <c:v>4600000000</c:v>
                </c:pt>
              </c:numCache>
            </c:numRef>
          </c:xVal>
          <c:yVal>
            <c:numRef>
              <c:f>CAPEX!$C$3:$C$7</c:f>
              <c:numCache>
                <c:formatCode>General</c:formatCode>
                <c:ptCount val="5"/>
                <c:pt idx="0">
                  <c:v>50</c:v>
                </c:pt>
                <c:pt idx="1">
                  <c:v>24</c:v>
                </c:pt>
                <c:pt idx="2">
                  <c:v>65</c:v>
                </c:pt>
                <c:pt idx="3">
                  <c:v>18</c:v>
                </c:pt>
                <c:pt idx="4">
                  <c:v>50</c:v>
                </c:pt>
              </c:numCache>
            </c:numRef>
          </c:yVal>
          <c:smooth val="0"/>
          <c:extLst>
            <c:ext xmlns:c16="http://schemas.microsoft.com/office/drawing/2014/chart" uri="{C3380CC4-5D6E-409C-BE32-E72D297353CC}">
              <c16:uniqueId val="{00000002-5A1E-4814-A24E-383075DC1337}"/>
            </c:ext>
          </c:extLst>
        </c:ser>
        <c:dLbls>
          <c:showLegendKey val="0"/>
          <c:showVal val="0"/>
          <c:showCatName val="0"/>
          <c:showSerName val="0"/>
          <c:showPercent val="0"/>
          <c:showBubbleSize val="0"/>
        </c:dLbls>
        <c:axId val="729257744"/>
        <c:axId val="729258072"/>
      </c:scatterChart>
      <c:valAx>
        <c:axId val="72925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29258072"/>
        <c:crosses val="autoZero"/>
        <c:crossBetween val="midCat"/>
      </c:valAx>
      <c:valAx>
        <c:axId val="72925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29257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23</xdr:col>
      <xdr:colOff>85273</xdr:colOff>
      <xdr:row>0</xdr:row>
      <xdr:rowOff>0</xdr:rowOff>
    </xdr:from>
    <xdr:to>
      <xdr:col>34</xdr:col>
      <xdr:colOff>463573</xdr:colOff>
      <xdr:row>20</xdr:row>
      <xdr:rowOff>76167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4064344" y="0"/>
          <a:ext cx="7063943" cy="3704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22225</xdr:colOff>
      <xdr:row>23</xdr:row>
      <xdr:rowOff>55283</xdr:rowOff>
    </xdr:from>
    <xdr:to>
      <xdr:col>35</xdr:col>
      <xdr:colOff>580837</xdr:colOff>
      <xdr:row>48</xdr:row>
      <xdr:rowOff>1869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v-database.org/" TargetMode="External"/><Relationship Id="rId1" Type="http://schemas.openxmlformats.org/officeDocument/2006/relationships/hyperlink" Target="https://doi.org/10.1038/s41893-020-00607-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mckinsey.com/~/media/McKinsey/Industries/Automotive%20and%20Assembly/Our%20Insights/Improving%20battery%20electric%20vehicle%20profitability%20through%20reduced%20structural%20costs/Improving-battery-electric-vehicle-profitability-Final.pdf" TargetMode="External"/><Relationship Id="rId7" Type="http://schemas.openxmlformats.org/officeDocument/2006/relationships/drawing" Target="../drawings/drawing2.xml"/><Relationship Id="rId2" Type="http://schemas.openxmlformats.org/officeDocument/2006/relationships/hyperlink" Target="https://www.diva-portal.org/smash/get/diva2:1254196/FULLTEXT01.pdf" TargetMode="External"/><Relationship Id="rId1" Type="http://schemas.openxmlformats.org/officeDocument/2006/relationships/hyperlink" Target="https://www.sciencedirect.com/science/article/abs/pii/S0306261916312740" TargetMode="External"/><Relationship Id="rId6" Type="http://schemas.openxmlformats.org/officeDocument/2006/relationships/printerSettings" Target="../printerSettings/printerSettings8.bin"/><Relationship Id="rId5" Type="http://schemas.openxmlformats.org/officeDocument/2006/relationships/hyperlink" Target="https://www.cstep.in/drupal/sites/default/files/2019-01/CSTEP_RR_LiB_Indigenisation_July2018.pdf" TargetMode="External"/><Relationship Id="rId4" Type="http://schemas.openxmlformats.org/officeDocument/2006/relationships/hyperlink" Target="../../../../Downloads/lbnl-2001314.pdf" TargetMode="External"/><Relationship Id="rId9"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V33"/>
  <sheetViews>
    <sheetView zoomScale="85" zoomScaleNormal="85" workbookViewId="0">
      <selection activeCell="P50" sqref="P50"/>
    </sheetView>
  </sheetViews>
  <sheetFormatPr defaultRowHeight="15" x14ac:dyDescent="0.25"/>
  <sheetData>
    <row r="2" spans="1:48" x14ac:dyDescent="0.25">
      <c r="A2" t="s">
        <v>222</v>
      </c>
    </row>
    <row r="3" spans="1:48" x14ac:dyDescent="0.25">
      <c r="C3" s="2"/>
      <c r="D3" s="2"/>
      <c r="E3" s="2"/>
      <c r="F3" s="2"/>
      <c r="G3" s="2"/>
      <c r="H3" s="2"/>
      <c r="I3" s="3"/>
    </row>
    <row r="4" spans="1:48" x14ac:dyDescent="0.25">
      <c r="C4" s="2"/>
      <c r="D4" s="2"/>
      <c r="E4" s="2"/>
      <c r="F4" s="2"/>
      <c r="G4" s="2"/>
      <c r="H4" s="2"/>
      <c r="I4" s="3"/>
    </row>
    <row r="5" spans="1:48" x14ac:dyDescent="0.25">
      <c r="B5" t="s">
        <v>0</v>
      </c>
      <c r="C5">
        <v>2015</v>
      </c>
      <c r="D5">
        <f>C5+1</f>
        <v>2016</v>
      </c>
      <c r="E5">
        <f>D5+1</f>
        <v>2017</v>
      </c>
      <c r="F5">
        <f>E5+1</f>
        <v>2018</v>
      </c>
      <c r="G5">
        <f>F5+1</f>
        <v>2019</v>
      </c>
      <c r="H5">
        <v>2020</v>
      </c>
      <c r="I5">
        <f t="shared" ref="I5:Q5" si="0">H5+1</f>
        <v>2021</v>
      </c>
      <c r="J5">
        <f t="shared" si="0"/>
        <v>2022</v>
      </c>
      <c r="K5">
        <f t="shared" si="0"/>
        <v>2023</v>
      </c>
      <c r="L5">
        <f t="shared" si="0"/>
        <v>2024</v>
      </c>
      <c r="M5">
        <f t="shared" si="0"/>
        <v>2025</v>
      </c>
      <c r="N5">
        <f t="shared" si="0"/>
        <v>2026</v>
      </c>
      <c r="O5">
        <f t="shared" si="0"/>
        <v>2027</v>
      </c>
      <c r="P5">
        <f t="shared" si="0"/>
        <v>2028</v>
      </c>
      <c r="Q5">
        <f t="shared" si="0"/>
        <v>2029</v>
      </c>
      <c r="R5">
        <v>2030</v>
      </c>
      <c r="S5">
        <f>R5+1</f>
        <v>2031</v>
      </c>
      <c r="T5">
        <f t="shared" ref="T5:AA5" si="1">S5+1</f>
        <v>2032</v>
      </c>
      <c r="U5">
        <f t="shared" si="1"/>
        <v>2033</v>
      </c>
      <c r="V5">
        <f t="shared" si="1"/>
        <v>2034</v>
      </c>
      <c r="W5">
        <f t="shared" si="1"/>
        <v>2035</v>
      </c>
      <c r="X5">
        <f t="shared" si="1"/>
        <v>2036</v>
      </c>
      <c r="Y5">
        <f t="shared" si="1"/>
        <v>2037</v>
      </c>
      <c r="Z5">
        <f t="shared" si="1"/>
        <v>2038</v>
      </c>
      <c r="AA5">
        <f t="shared" si="1"/>
        <v>2039</v>
      </c>
      <c r="AB5">
        <v>2040</v>
      </c>
      <c r="AC5">
        <f>AB5+1</f>
        <v>2041</v>
      </c>
      <c r="AD5">
        <f t="shared" ref="AD5:AK5" si="2">AC5+1</f>
        <v>2042</v>
      </c>
      <c r="AE5">
        <f t="shared" si="2"/>
        <v>2043</v>
      </c>
      <c r="AF5">
        <f t="shared" si="2"/>
        <v>2044</v>
      </c>
      <c r="AG5">
        <f t="shared" si="2"/>
        <v>2045</v>
      </c>
      <c r="AH5">
        <f t="shared" si="2"/>
        <v>2046</v>
      </c>
      <c r="AI5">
        <f t="shared" si="2"/>
        <v>2047</v>
      </c>
      <c r="AJ5">
        <f t="shared" si="2"/>
        <v>2048</v>
      </c>
      <c r="AK5">
        <f t="shared" si="2"/>
        <v>2049</v>
      </c>
      <c r="AL5">
        <v>2050</v>
      </c>
      <c r="AM5">
        <f>AL5+1</f>
        <v>2051</v>
      </c>
      <c r="AN5">
        <f t="shared" ref="AN5:AU5" si="3">AM5+1</f>
        <v>2052</v>
      </c>
      <c r="AO5">
        <f t="shared" si="3"/>
        <v>2053</v>
      </c>
      <c r="AP5">
        <f t="shared" si="3"/>
        <v>2054</v>
      </c>
      <c r="AQ5">
        <f t="shared" si="3"/>
        <v>2055</v>
      </c>
      <c r="AR5">
        <f t="shared" si="3"/>
        <v>2056</v>
      </c>
      <c r="AS5">
        <f t="shared" si="3"/>
        <v>2057</v>
      </c>
      <c r="AT5">
        <f t="shared" si="3"/>
        <v>2058</v>
      </c>
      <c r="AU5">
        <f t="shared" si="3"/>
        <v>2059</v>
      </c>
      <c r="AV5">
        <v>2060</v>
      </c>
    </row>
    <row r="6" spans="1:48" x14ac:dyDescent="0.25">
      <c r="B6" t="s">
        <v>2</v>
      </c>
      <c r="C6" s="2">
        <v>0.15</v>
      </c>
      <c r="H6" s="2">
        <v>0.15</v>
      </c>
      <c r="M6" s="2"/>
      <c r="R6" s="2">
        <v>0.13</v>
      </c>
      <c r="AB6" s="2">
        <v>7.0000000000000007E-2</v>
      </c>
      <c r="AL6" s="2">
        <f>AB6</f>
        <v>7.0000000000000007E-2</v>
      </c>
      <c r="AV6" s="3">
        <f t="shared" ref="AV6:AV13" si="4">AL6</f>
        <v>7.0000000000000007E-2</v>
      </c>
    </row>
    <row r="7" spans="1:48" x14ac:dyDescent="0.25">
      <c r="B7" t="s">
        <v>88</v>
      </c>
      <c r="C7" s="2">
        <v>0.3</v>
      </c>
      <c r="H7" s="2">
        <v>0.12</v>
      </c>
      <c r="M7" s="2"/>
      <c r="R7" s="2">
        <v>0.02</v>
      </c>
      <c r="AB7" s="2">
        <v>0</v>
      </c>
      <c r="AL7" s="2">
        <f>AB7</f>
        <v>0</v>
      </c>
      <c r="AV7" s="3">
        <f t="shared" si="4"/>
        <v>0</v>
      </c>
    </row>
    <row r="8" spans="1:48" x14ac:dyDescent="0.25">
      <c r="B8" t="s">
        <v>4</v>
      </c>
      <c r="C8" s="2">
        <v>0.1</v>
      </c>
      <c r="H8" s="2">
        <v>0.23</v>
      </c>
      <c r="M8" s="2"/>
      <c r="R8" s="2">
        <v>0.27</v>
      </c>
      <c r="AB8" s="2">
        <v>0.16</v>
      </c>
      <c r="AL8" s="2">
        <f>AB8</f>
        <v>0.16</v>
      </c>
      <c r="AV8" s="3">
        <f t="shared" si="4"/>
        <v>0.16</v>
      </c>
    </row>
    <row r="9" spans="1:48" x14ac:dyDescent="0.25">
      <c r="B9" t="s">
        <v>75</v>
      </c>
      <c r="C9" s="2">
        <v>0</v>
      </c>
      <c r="H9" s="2">
        <v>0.1</v>
      </c>
      <c r="M9" s="2"/>
      <c r="R9" s="2">
        <v>0.27</v>
      </c>
      <c r="AB9" s="2">
        <v>0.45</v>
      </c>
      <c r="AL9" s="2">
        <v>0.3</v>
      </c>
      <c r="AV9" s="3">
        <f t="shared" si="4"/>
        <v>0.3</v>
      </c>
    </row>
    <row r="10" spans="1:48" x14ac:dyDescent="0.25">
      <c r="B10" t="s">
        <v>6</v>
      </c>
      <c r="C10" s="2">
        <v>0.21</v>
      </c>
      <c r="H10" s="2">
        <v>0.2</v>
      </c>
      <c r="M10" s="2"/>
      <c r="R10" s="2">
        <v>0.1</v>
      </c>
      <c r="AB10" s="2">
        <v>7.0000000000000007E-2</v>
      </c>
      <c r="AL10" s="2">
        <v>7.0000000000000007E-2</v>
      </c>
      <c r="AV10" s="3">
        <f t="shared" si="4"/>
        <v>7.0000000000000007E-2</v>
      </c>
    </row>
    <row r="11" spans="1:48" x14ac:dyDescent="0.25">
      <c r="B11" t="s">
        <v>101</v>
      </c>
      <c r="C11" s="2">
        <v>0.24</v>
      </c>
      <c r="H11" s="2">
        <v>0.2</v>
      </c>
      <c r="M11" s="2"/>
      <c r="R11" s="2">
        <v>0</v>
      </c>
      <c r="AB11" s="2">
        <v>0</v>
      </c>
      <c r="AL11" s="2">
        <v>0</v>
      </c>
      <c r="AV11" s="3">
        <f t="shared" si="4"/>
        <v>0</v>
      </c>
    </row>
    <row r="12" spans="1:48" x14ac:dyDescent="0.25">
      <c r="B12" t="s">
        <v>105</v>
      </c>
      <c r="C12" s="2">
        <v>0</v>
      </c>
      <c r="H12" s="2">
        <v>0</v>
      </c>
      <c r="M12" s="2"/>
      <c r="R12" s="2">
        <v>0.21</v>
      </c>
      <c r="AB12" s="2">
        <v>0.25</v>
      </c>
      <c r="AL12" s="8">
        <v>0.4</v>
      </c>
      <c r="AV12" s="3">
        <f t="shared" si="4"/>
        <v>0.4</v>
      </c>
    </row>
    <row r="13" spans="1:48" x14ac:dyDescent="0.25">
      <c r="B13" t="s">
        <v>93</v>
      </c>
      <c r="C13" s="2">
        <v>0</v>
      </c>
      <c r="H13" s="2">
        <v>0</v>
      </c>
      <c r="M13" s="2"/>
      <c r="R13" s="2">
        <v>0</v>
      </c>
      <c r="AB13" s="2">
        <v>0</v>
      </c>
      <c r="AL13" s="8">
        <v>0</v>
      </c>
      <c r="AV13" s="3">
        <f t="shared" si="4"/>
        <v>0</v>
      </c>
    </row>
    <row r="14" spans="1:48" x14ac:dyDescent="0.25">
      <c r="C14" s="3">
        <f>SUM(C6:C12)</f>
        <v>0.99999999999999989</v>
      </c>
      <c r="D14" s="3">
        <f t="shared" ref="D14:AU14" si="5">SUM(D6:D12)</f>
        <v>0</v>
      </c>
      <c r="E14" s="3">
        <f t="shared" si="5"/>
        <v>0</v>
      </c>
      <c r="F14" s="3">
        <f t="shared" si="5"/>
        <v>0</v>
      </c>
      <c r="G14" s="3">
        <f t="shared" si="5"/>
        <v>0</v>
      </c>
      <c r="H14" s="3">
        <f t="shared" si="5"/>
        <v>1</v>
      </c>
      <c r="I14" s="3">
        <f t="shared" si="5"/>
        <v>0</v>
      </c>
      <c r="J14" s="3">
        <f t="shared" si="5"/>
        <v>0</v>
      </c>
      <c r="K14" s="3">
        <f t="shared" si="5"/>
        <v>0</v>
      </c>
      <c r="L14" s="3">
        <f t="shared" si="5"/>
        <v>0</v>
      </c>
      <c r="M14" s="3">
        <f t="shared" si="5"/>
        <v>0</v>
      </c>
      <c r="N14" s="3">
        <f t="shared" si="5"/>
        <v>0</v>
      </c>
      <c r="O14" s="3">
        <f t="shared" si="5"/>
        <v>0</v>
      </c>
      <c r="P14" s="3">
        <f t="shared" si="5"/>
        <v>0</v>
      </c>
      <c r="Q14" s="3">
        <f t="shared" si="5"/>
        <v>0</v>
      </c>
      <c r="R14" s="3">
        <f t="shared" si="5"/>
        <v>1</v>
      </c>
      <c r="S14" s="3">
        <f t="shared" si="5"/>
        <v>0</v>
      </c>
      <c r="T14" s="3">
        <f t="shared" si="5"/>
        <v>0</v>
      </c>
      <c r="U14" s="3">
        <f t="shared" si="5"/>
        <v>0</v>
      </c>
      <c r="V14" s="3">
        <f t="shared" si="5"/>
        <v>0</v>
      </c>
      <c r="W14" s="3">
        <f t="shared" si="5"/>
        <v>0</v>
      </c>
      <c r="X14" s="3">
        <f t="shared" si="5"/>
        <v>0</v>
      </c>
      <c r="Y14" s="3">
        <f t="shared" si="5"/>
        <v>0</v>
      </c>
      <c r="Z14" s="3">
        <f t="shared" si="5"/>
        <v>0</v>
      </c>
      <c r="AA14" s="3">
        <f t="shared" si="5"/>
        <v>0</v>
      </c>
      <c r="AB14" s="3">
        <f t="shared" si="5"/>
        <v>1</v>
      </c>
      <c r="AC14" s="3">
        <f t="shared" si="5"/>
        <v>0</v>
      </c>
      <c r="AD14" s="3">
        <f t="shared" si="5"/>
        <v>0</v>
      </c>
      <c r="AE14" s="3">
        <f t="shared" si="5"/>
        <v>0</v>
      </c>
      <c r="AF14" s="3">
        <f t="shared" si="5"/>
        <v>0</v>
      </c>
      <c r="AG14" s="3">
        <f t="shared" si="5"/>
        <v>0</v>
      </c>
      <c r="AH14" s="3">
        <f t="shared" si="5"/>
        <v>0</v>
      </c>
      <c r="AI14" s="3">
        <f t="shared" si="5"/>
        <v>0</v>
      </c>
      <c r="AJ14" s="3">
        <f t="shared" si="5"/>
        <v>0</v>
      </c>
      <c r="AK14" s="3">
        <f t="shared" si="5"/>
        <v>0</v>
      </c>
      <c r="AL14" s="3">
        <f t="shared" si="5"/>
        <v>1</v>
      </c>
      <c r="AM14" s="3">
        <f t="shared" si="5"/>
        <v>0</v>
      </c>
      <c r="AN14" s="3">
        <f t="shared" si="5"/>
        <v>0</v>
      </c>
      <c r="AO14" s="3">
        <f t="shared" si="5"/>
        <v>0</v>
      </c>
      <c r="AP14" s="3">
        <f t="shared" si="5"/>
        <v>0</v>
      </c>
      <c r="AQ14" s="3">
        <f t="shared" si="5"/>
        <v>0</v>
      </c>
      <c r="AR14" s="3">
        <f t="shared" si="5"/>
        <v>0</v>
      </c>
      <c r="AS14" s="3">
        <f t="shared" si="5"/>
        <v>0</v>
      </c>
      <c r="AT14" s="3">
        <f t="shared" si="5"/>
        <v>0</v>
      </c>
      <c r="AU14" s="3">
        <f t="shared" si="5"/>
        <v>0</v>
      </c>
      <c r="AV14" s="3">
        <f>SUM(AV6:AV13)</f>
        <v>1</v>
      </c>
    </row>
    <row r="19" spans="3:48" x14ac:dyDescent="0.2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3:48" x14ac:dyDescent="0.2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3:48" x14ac:dyDescent="0.25">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5" spans="3:48" x14ac:dyDescent="0.25">
      <c r="C25" s="2"/>
      <c r="H25" s="2"/>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row>
    <row r="26" spans="3:48" x14ac:dyDescent="0.25">
      <c r="C26" s="2"/>
      <c r="H26" s="2"/>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row>
    <row r="27" spans="3:48" x14ac:dyDescent="0.25">
      <c r="C27" s="2"/>
      <c r="H27" s="2"/>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row>
    <row r="28" spans="3:48" x14ac:dyDescent="0.25">
      <c r="C28" s="2"/>
      <c r="H28" s="2"/>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row>
    <row r="29" spans="3:48" x14ac:dyDescent="0.25">
      <c r="C29" s="2"/>
      <c r="H29" s="2"/>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row>
    <row r="30" spans="3:48" x14ac:dyDescent="0.25">
      <c r="C30" s="2"/>
      <c r="H30" s="2"/>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row>
    <row r="31" spans="3:48" x14ac:dyDescent="0.25">
      <c r="C31" s="2"/>
      <c r="H31" s="2"/>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row>
    <row r="32" spans="3:48" x14ac:dyDescent="0.25">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row>
    <row r="33" spans="3:48" x14ac:dyDescent="0.25">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4"/>
  <sheetViews>
    <sheetView zoomScale="55" zoomScaleNormal="55" workbookViewId="0">
      <selection activeCell="K93" sqref="K93"/>
    </sheetView>
  </sheetViews>
  <sheetFormatPr defaultRowHeight="15" x14ac:dyDescent="0.25"/>
  <cols>
    <col min="2" max="2" width="19.42578125" customWidth="1"/>
    <col min="3" max="3" width="11.5703125" customWidth="1"/>
    <col min="7" max="7" width="15.140625" bestFit="1" customWidth="1"/>
    <col min="16" max="17" width="9.5703125" bestFit="1" customWidth="1"/>
    <col min="18" max="18" width="13.28515625" bestFit="1" customWidth="1"/>
    <col min="19" max="19" width="17.140625" bestFit="1" customWidth="1"/>
    <col min="20" max="21" width="16.85546875" bestFit="1" customWidth="1"/>
    <col min="22" max="22" width="15.7109375" bestFit="1" customWidth="1"/>
    <col min="23" max="23" width="15.28515625" bestFit="1" customWidth="1"/>
    <col min="24" max="24" width="15.7109375" bestFit="1" customWidth="1"/>
  </cols>
  <sheetData>
    <row r="1" spans="1:39" x14ac:dyDescent="0.25">
      <c r="A1" s="1" t="s">
        <v>106</v>
      </c>
    </row>
    <row r="2" spans="1:39" x14ac:dyDescent="0.25">
      <c r="O2" s="77">
        <v>2020</v>
      </c>
      <c r="P2" s="77"/>
      <c r="Q2" s="77"/>
      <c r="R2" s="77"/>
      <c r="S2" s="77"/>
      <c r="T2" s="77"/>
      <c r="U2" s="77"/>
    </row>
    <row r="3" spans="1:39" x14ac:dyDescent="0.25">
      <c r="C3" s="1">
        <v>2020</v>
      </c>
      <c r="P3" s="1" t="s">
        <v>112</v>
      </c>
      <c r="Q3" s="1" t="s">
        <v>114</v>
      </c>
      <c r="R3" s="1" t="s">
        <v>113</v>
      </c>
      <c r="S3" s="1" t="s">
        <v>115</v>
      </c>
      <c r="T3" s="1" t="s">
        <v>116</v>
      </c>
      <c r="U3" s="1" t="s">
        <v>118</v>
      </c>
      <c r="V3" s="1" t="s">
        <v>123</v>
      </c>
      <c r="X3" s="1" t="s">
        <v>124</v>
      </c>
      <c r="Y3" s="1" t="s">
        <v>125</v>
      </c>
    </row>
    <row r="4" spans="1:39" x14ac:dyDescent="0.25">
      <c r="B4" t="s">
        <v>6</v>
      </c>
      <c r="C4" s="6">
        <v>0.4</v>
      </c>
      <c r="O4" s="1" t="s">
        <v>6</v>
      </c>
      <c r="P4" s="6">
        <v>0.4</v>
      </c>
      <c r="Q4" s="6"/>
      <c r="R4" s="6"/>
      <c r="S4" s="6">
        <v>0.05</v>
      </c>
      <c r="T4" s="6">
        <v>0.02</v>
      </c>
      <c r="U4" s="6">
        <v>0.32500000000000001</v>
      </c>
      <c r="V4" s="6">
        <v>0.21</v>
      </c>
      <c r="X4" s="8">
        <f>AVERAGE(P4:V4)</f>
        <v>0.20100000000000001</v>
      </c>
      <c r="Y4" s="8">
        <f>MEDIAN(P4:V4)</f>
        <v>0.21</v>
      </c>
      <c r="AA4" t="s">
        <v>153</v>
      </c>
      <c r="AB4" s="8">
        <f>SUM(Y5,Y7,Y8,Y9)</f>
        <v>0.6399999999999999</v>
      </c>
      <c r="AD4" t="s">
        <v>153</v>
      </c>
      <c r="AE4" s="8">
        <f>SUM(P5:P10)</f>
        <v>0.57000000000000006</v>
      </c>
      <c r="AF4" s="8">
        <f t="shared" ref="AF4:AK4" si="0">SUM(Q5:Q10)</f>
        <v>1</v>
      </c>
      <c r="AG4" s="8">
        <f t="shared" si="0"/>
        <v>0.70500000000000007</v>
      </c>
      <c r="AH4" s="8">
        <f t="shared" si="0"/>
        <v>0.79999999999999993</v>
      </c>
      <c r="AI4" s="8">
        <f t="shared" si="0"/>
        <v>0.78999999999999992</v>
      </c>
      <c r="AJ4" s="8">
        <f t="shared" si="0"/>
        <v>0.30000000000000004</v>
      </c>
      <c r="AK4" s="8">
        <f t="shared" si="0"/>
        <v>0.46</v>
      </c>
      <c r="AL4" s="8"/>
      <c r="AM4" s="8">
        <f>MEDIAN(AE4:AK4)</f>
        <v>0.70500000000000007</v>
      </c>
    </row>
    <row r="5" spans="1:39" x14ac:dyDescent="0.25">
      <c r="B5" t="s">
        <v>107</v>
      </c>
      <c r="C5" s="6">
        <v>0.2</v>
      </c>
      <c r="O5" s="1" t="s">
        <v>101</v>
      </c>
      <c r="P5" s="6"/>
      <c r="Q5" s="6">
        <v>0.45</v>
      </c>
      <c r="R5" s="6"/>
      <c r="S5" s="6"/>
      <c r="T5" s="6">
        <v>0.24</v>
      </c>
      <c r="U5" s="6">
        <v>0.04</v>
      </c>
      <c r="V5" s="6"/>
      <c r="X5" s="8">
        <f t="shared" ref="X5:X11" si="1">AVERAGE(P5:V5)</f>
        <v>0.24333333333333332</v>
      </c>
      <c r="Y5" s="8">
        <f t="shared" ref="Y5:Y11" si="2">MEDIAN(P5:V5)</f>
        <v>0.24</v>
      </c>
      <c r="AA5" t="s">
        <v>6</v>
      </c>
      <c r="AB5" s="8">
        <f>Y4</f>
        <v>0.21</v>
      </c>
      <c r="AD5" t="s">
        <v>6</v>
      </c>
      <c r="AE5" s="8">
        <f>P4</f>
        <v>0.4</v>
      </c>
      <c r="AF5" s="8">
        <f t="shared" ref="AF5:AK5" si="3">Q4</f>
        <v>0</v>
      </c>
      <c r="AG5" s="8">
        <f t="shared" si="3"/>
        <v>0</v>
      </c>
      <c r="AH5" s="8">
        <f t="shared" si="3"/>
        <v>0.05</v>
      </c>
      <c r="AI5" s="8">
        <f t="shared" si="3"/>
        <v>0.02</v>
      </c>
      <c r="AJ5" s="8">
        <f t="shared" si="3"/>
        <v>0.32500000000000001</v>
      </c>
      <c r="AK5" s="8">
        <f t="shared" si="3"/>
        <v>0.21</v>
      </c>
      <c r="AL5" s="8"/>
      <c r="AM5" s="8">
        <f>MEDIAN(AE5:AK5)</f>
        <v>0.05</v>
      </c>
    </row>
    <row r="6" spans="1:39" x14ac:dyDescent="0.25">
      <c r="B6" t="s">
        <v>4</v>
      </c>
      <c r="C6" s="6">
        <v>0.23</v>
      </c>
      <c r="O6" s="1" t="s">
        <v>126</v>
      </c>
      <c r="P6" s="6">
        <v>0.2</v>
      </c>
      <c r="Q6" s="6"/>
      <c r="R6" s="6"/>
      <c r="S6" s="6"/>
      <c r="T6" s="6"/>
      <c r="U6" s="6"/>
      <c r="V6" s="6">
        <v>0.33</v>
      </c>
      <c r="X6" s="8"/>
      <c r="Y6" s="8"/>
      <c r="AA6" t="s">
        <v>2</v>
      </c>
      <c r="AB6" s="8">
        <f>Y11</f>
        <v>0.16500000000000001</v>
      </c>
      <c r="AD6" t="s">
        <v>2</v>
      </c>
      <c r="AE6" s="8">
        <f>P11</f>
        <v>0.01</v>
      </c>
      <c r="AF6" s="8">
        <f t="shared" ref="AF6:AK6" si="4">Q11</f>
        <v>0</v>
      </c>
      <c r="AG6" s="8">
        <f t="shared" si="4"/>
        <v>0.24</v>
      </c>
      <c r="AH6" s="8">
        <f t="shared" si="4"/>
        <v>0.14000000000000001</v>
      </c>
      <c r="AI6" s="8">
        <f t="shared" si="4"/>
        <v>0.19</v>
      </c>
      <c r="AJ6" s="8">
        <f t="shared" si="4"/>
        <v>0.375</v>
      </c>
      <c r="AK6" s="8">
        <f t="shared" si="4"/>
        <v>0.115</v>
      </c>
      <c r="AL6" s="8"/>
      <c r="AM6" s="8">
        <f>MEDIAN(AE6:AK6)</f>
        <v>0.14000000000000001</v>
      </c>
    </row>
    <row r="7" spans="1:39" x14ac:dyDescent="0.25">
      <c r="B7" t="s">
        <v>75</v>
      </c>
      <c r="C7" s="6">
        <v>0.14000000000000001</v>
      </c>
      <c r="O7" s="1" t="s">
        <v>88</v>
      </c>
      <c r="P7" s="6"/>
      <c r="Q7" s="6">
        <v>0.3</v>
      </c>
      <c r="R7" s="6">
        <v>0.06</v>
      </c>
      <c r="S7" s="6"/>
      <c r="T7" s="6"/>
      <c r="U7" s="6">
        <v>0.11</v>
      </c>
      <c r="V7" s="6"/>
      <c r="X7" s="8">
        <f t="shared" si="1"/>
        <v>0.15666666666666665</v>
      </c>
      <c r="Y7" s="8">
        <f t="shared" si="2"/>
        <v>0.11</v>
      </c>
    </row>
    <row r="8" spans="1:39" x14ac:dyDescent="0.25">
      <c r="B8" t="s">
        <v>2</v>
      </c>
      <c r="C8" s="6">
        <v>0.01</v>
      </c>
      <c r="O8" s="1" t="s">
        <v>4</v>
      </c>
      <c r="P8" s="6">
        <v>0.23</v>
      </c>
      <c r="Q8" s="6">
        <v>0.2</v>
      </c>
      <c r="R8" s="6">
        <v>0.58499999999999996</v>
      </c>
      <c r="S8" s="6">
        <f>(0.73+0.4)/2</f>
        <v>0.56499999999999995</v>
      </c>
      <c r="T8" s="6">
        <v>0.44</v>
      </c>
      <c r="U8" s="6">
        <f>0.06*2</f>
        <v>0.12</v>
      </c>
      <c r="V8" s="6">
        <v>0.11</v>
      </c>
      <c r="X8" s="8">
        <f t="shared" si="1"/>
        <v>0.32142857142857145</v>
      </c>
      <c r="Y8" s="8">
        <f t="shared" si="2"/>
        <v>0.23</v>
      </c>
      <c r="AE8" s="8">
        <f>SUM(AE4:AE6)</f>
        <v>0.98000000000000009</v>
      </c>
      <c r="AF8" s="8">
        <f t="shared" ref="AF8:AK8" si="5">SUM(AF4:AF6)</f>
        <v>1</v>
      </c>
      <c r="AG8" s="8">
        <f t="shared" si="5"/>
        <v>0.94500000000000006</v>
      </c>
      <c r="AH8" s="8">
        <f t="shared" si="5"/>
        <v>0.99</v>
      </c>
      <c r="AI8" s="8">
        <f t="shared" si="5"/>
        <v>1</v>
      </c>
      <c r="AJ8" s="8">
        <f t="shared" si="5"/>
        <v>1</v>
      </c>
      <c r="AK8" s="8">
        <f t="shared" si="5"/>
        <v>0.78500000000000003</v>
      </c>
      <c r="AM8" s="8">
        <f>SUM(AM4:AM6)</f>
        <v>0.89500000000000013</v>
      </c>
    </row>
    <row r="9" spans="1:39" x14ac:dyDescent="0.25">
      <c r="B9" t="s">
        <v>108</v>
      </c>
      <c r="C9" s="6">
        <v>0.02</v>
      </c>
      <c r="O9" s="1" t="s">
        <v>75</v>
      </c>
      <c r="P9" s="6">
        <v>0.14000000000000001</v>
      </c>
      <c r="Q9" s="6">
        <v>0.05</v>
      </c>
      <c r="R9" s="6">
        <v>0.06</v>
      </c>
      <c r="S9" s="6">
        <f>(0.32+0.15)/2</f>
        <v>0.23499999999999999</v>
      </c>
      <c r="T9" s="6">
        <v>0.11</v>
      </c>
      <c r="U9" s="6">
        <v>0.03</v>
      </c>
      <c r="V9" s="6">
        <v>0.02</v>
      </c>
      <c r="X9" s="8">
        <f t="shared" si="1"/>
        <v>9.2142857142857151E-2</v>
      </c>
      <c r="Y9" s="8">
        <f t="shared" si="2"/>
        <v>0.06</v>
      </c>
    </row>
    <row r="10" spans="1:39" x14ac:dyDescent="0.25">
      <c r="O10" s="1" t="s">
        <v>105</v>
      </c>
      <c r="P10" s="6"/>
      <c r="Q10" s="6"/>
      <c r="R10" s="6"/>
      <c r="S10" s="6"/>
      <c r="T10" s="6"/>
      <c r="U10" s="6"/>
      <c r="X10" s="8"/>
      <c r="Y10" s="8"/>
    </row>
    <row r="11" spans="1:39" x14ac:dyDescent="0.25">
      <c r="B11" s="1" t="s">
        <v>7</v>
      </c>
      <c r="C11" s="8">
        <f>SUM(C4:C9)</f>
        <v>1</v>
      </c>
      <c r="O11" s="1" t="s">
        <v>2</v>
      </c>
      <c r="P11" s="6">
        <v>0.01</v>
      </c>
      <c r="Q11" s="6"/>
      <c r="R11" s="6">
        <f>0.15+0.09</f>
        <v>0.24</v>
      </c>
      <c r="S11" s="6">
        <v>0.14000000000000001</v>
      </c>
      <c r="T11" s="6">
        <v>0.19</v>
      </c>
      <c r="U11" s="6">
        <v>0.375</v>
      </c>
      <c r="V11" s="6">
        <v>0.115</v>
      </c>
      <c r="X11" s="8">
        <f t="shared" si="1"/>
        <v>0.17833333333333334</v>
      </c>
      <c r="Y11" s="8">
        <f t="shared" si="2"/>
        <v>0.16500000000000001</v>
      </c>
    </row>
    <row r="12" spans="1:39" x14ac:dyDescent="0.25">
      <c r="O12" s="1" t="s">
        <v>108</v>
      </c>
      <c r="P12" s="6">
        <v>0.02</v>
      </c>
      <c r="Q12" s="6"/>
      <c r="R12" s="6">
        <v>5.5E-2</v>
      </c>
      <c r="S12" s="6"/>
      <c r="T12" s="6"/>
      <c r="U12" s="6"/>
      <c r="V12" s="6">
        <v>0.21</v>
      </c>
      <c r="X12" s="8"/>
      <c r="Y12" s="8"/>
    </row>
    <row r="13" spans="1:39" x14ac:dyDescent="0.25">
      <c r="B13" s="1" t="s">
        <v>79</v>
      </c>
      <c r="O13" s="1" t="s">
        <v>5</v>
      </c>
      <c r="P13" s="6"/>
      <c r="Q13" s="6"/>
      <c r="R13" s="6"/>
      <c r="S13" s="6">
        <v>0.01</v>
      </c>
      <c r="T13" s="6"/>
      <c r="U13" s="6"/>
      <c r="X13" s="8">
        <v>0</v>
      </c>
      <c r="Y13" s="8">
        <v>0</v>
      </c>
    </row>
    <row r="14" spans="1:39" x14ac:dyDescent="0.25">
      <c r="V14" s="8"/>
      <c r="Y14" s="8"/>
    </row>
    <row r="15" spans="1:39" x14ac:dyDescent="0.25">
      <c r="A15" s="1" t="s">
        <v>85</v>
      </c>
      <c r="C15" s="1">
        <v>2020</v>
      </c>
      <c r="D15" s="1">
        <v>2030</v>
      </c>
      <c r="F15" s="1" t="s">
        <v>86</v>
      </c>
      <c r="H15" s="1">
        <v>2020</v>
      </c>
      <c r="I15" s="1">
        <v>2030</v>
      </c>
      <c r="P15" s="8">
        <f>SUM(P5:P10)</f>
        <v>0.57000000000000006</v>
      </c>
      <c r="Q15" s="8">
        <f t="shared" ref="Q15:V15" si="6">SUM(Q5:Q10)</f>
        <v>1</v>
      </c>
      <c r="R15" s="8">
        <f t="shared" si="6"/>
        <v>0.70500000000000007</v>
      </c>
      <c r="S15" s="8">
        <f t="shared" si="6"/>
        <v>0.79999999999999993</v>
      </c>
      <c r="T15" s="8">
        <f t="shared" si="6"/>
        <v>0.78999999999999992</v>
      </c>
      <c r="U15" s="8">
        <f t="shared" si="6"/>
        <v>0.30000000000000004</v>
      </c>
      <c r="V15" s="8">
        <f t="shared" si="6"/>
        <v>0.46</v>
      </c>
      <c r="X15" s="8">
        <f>SUM(X4:X13)</f>
        <v>1.1929047619047619</v>
      </c>
      <c r="Y15" s="8">
        <f>SUM(Y4:Y13)</f>
        <v>1.0149999999999999</v>
      </c>
    </row>
    <row r="16" spans="1:39" x14ac:dyDescent="0.25">
      <c r="B16" s="1" t="s">
        <v>81</v>
      </c>
      <c r="C16" s="6">
        <v>0.45</v>
      </c>
      <c r="D16" s="6">
        <v>0.09</v>
      </c>
      <c r="G16" s="1" t="s">
        <v>81</v>
      </c>
      <c r="H16" s="6">
        <v>0.45</v>
      </c>
      <c r="I16" s="6">
        <v>0.22500000000000001</v>
      </c>
    </row>
    <row r="17" spans="1:30" x14ac:dyDescent="0.25">
      <c r="B17" s="1" t="s">
        <v>3</v>
      </c>
      <c r="C17" s="6">
        <v>0.3</v>
      </c>
      <c r="D17" s="6">
        <v>0.14000000000000001</v>
      </c>
      <c r="G17" s="1" t="s">
        <v>3</v>
      </c>
      <c r="H17" s="6">
        <v>0.3</v>
      </c>
      <c r="I17" s="6">
        <v>0.2</v>
      </c>
      <c r="O17" s="77">
        <v>2030</v>
      </c>
      <c r="P17" s="77"/>
      <c r="Q17" s="77"/>
      <c r="R17" s="77"/>
      <c r="S17" s="77"/>
      <c r="T17" s="77"/>
      <c r="U17" s="77"/>
      <c r="V17" s="77"/>
      <c r="W17" s="77"/>
      <c r="X17" s="77"/>
    </row>
    <row r="18" spans="1:30" x14ac:dyDescent="0.25">
      <c r="B18" s="1" t="s">
        <v>82</v>
      </c>
      <c r="C18" s="6">
        <v>0.2</v>
      </c>
      <c r="D18" s="6">
        <v>0.3</v>
      </c>
      <c r="G18" s="1" t="s">
        <v>82</v>
      </c>
      <c r="H18" s="6">
        <v>0.2</v>
      </c>
      <c r="I18" s="6">
        <v>0.26300000000000001</v>
      </c>
      <c r="P18" s="1" t="s">
        <v>111</v>
      </c>
      <c r="Q18" s="1" t="s">
        <v>117</v>
      </c>
      <c r="R18" s="1" t="s">
        <v>113</v>
      </c>
      <c r="S18" s="1" t="s">
        <v>115</v>
      </c>
      <c r="T18" s="1" t="s">
        <v>119</v>
      </c>
      <c r="U18" s="1" t="s">
        <v>116</v>
      </c>
      <c r="V18" s="1" t="s">
        <v>121</v>
      </c>
      <c r="W18" s="1" t="s">
        <v>120</v>
      </c>
      <c r="X18" s="1" t="s">
        <v>122</v>
      </c>
      <c r="Y18" s="1" t="s">
        <v>123</v>
      </c>
    </row>
    <row r="19" spans="1:30" x14ac:dyDescent="0.25">
      <c r="B19" s="1" t="s">
        <v>83</v>
      </c>
      <c r="C19" s="6">
        <v>0.05</v>
      </c>
      <c r="D19" s="6">
        <v>0.47</v>
      </c>
      <c r="G19" s="1" t="s">
        <v>83</v>
      </c>
      <c r="H19" s="6">
        <v>0.05</v>
      </c>
      <c r="I19" s="6">
        <v>0.312</v>
      </c>
      <c r="O19" s="1" t="s">
        <v>6</v>
      </c>
      <c r="P19" s="6"/>
      <c r="Q19" s="6"/>
      <c r="R19" s="6"/>
      <c r="S19" s="6">
        <v>0.01</v>
      </c>
      <c r="T19" s="6">
        <v>0.01</v>
      </c>
      <c r="U19" s="6"/>
      <c r="V19" s="6">
        <v>2.5000000000000001E-2</v>
      </c>
      <c r="W19" s="6">
        <v>0.61</v>
      </c>
      <c r="X19" s="6">
        <v>0.03</v>
      </c>
      <c r="Y19" s="6">
        <v>0.14000000000000001</v>
      </c>
      <c r="AA19" s="8">
        <f>MEDIAN(P19:Y19)</f>
        <v>2.75E-2</v>
      </c>
    </row>
    <row r="20" spans="1:30" x14ac:dyDescent="0.25">
      <c r="O20" s="1" t="s">
        <v>101</v>
      </c>
      <c r="P20" s="6">
        <v>0.09</v>
      </c>
      <c r="Q20" s="6">
        <v>0.23</v>
      </c>
      <c r="R20" s="6"/>
      <c r="S20" s="6"/>
      <c r="T20" s="6"/>
      <c r="U20" s="6">
        <v>0.08</v>
      </c>
      <c r="V20" s="6">
        <v>0.02</v>
      </c>
      <c r="W20" s="6">
        <v>0.01</v>
      </c>
      <c r="X20" s="6">
        <v>0.03</v>
      </c>
      <c r="Y20" s="6"/>
      <c r="AA20" s="8">
        <f t="shared" ref="AA20:AA25" si="7">MEDIAN(P20:Y20)</f>
        <v>5.5E-2</v>
      </c>
      <c r="AC20" t="s">
        <v>153</v>
      </c>
      <c r="AD20" s="8">
        <f>SUM(AA20:AA24)</f>
        <v>0.89250000000000007</v>
      </c>
    </row>
    <row r="21" spans="1:30" x14ac:dyDescent="0.25">
      <c r="C21" s="8">
        <f>SUM(C16:C19)</f>
        <v>1</v>
      </c>
      <c r="D21" s="8">
        <f>SUM(D16:D19)</f>
        <v>1</v>
      </c>
      <c r="H21" s="8">
        <f>SUM(H16:H19)</f>
        <v>1</v>
      </c>
      <c r="I21" s="8">
        <f>SUM(I16:I19)</f>
        <v>1</v>
      </c>
      <c r="O21" s="1" t="s">
        <v>88</v>
      </c>
      <c r="P21" s="6">
        <v>0.14000000000000001</v>
      </c>
      <c r="Q21" s="6">
        <v>0.2</v>
      </c>
      <c r="R21" s="6"/>
      <c r="S21" s="6"/>
      <c r="T21" s="6"/>
      <c r="U21" s="6"/>
      <c r="V21" s="6">
        <v>3.5000000000000003E-2</v>
      </c>
      <c r="W21" s="6">
        <v>0.02</v>
      </c>
      <c r="X21" s="6">
        <v>0.03</v>
      </c>
      <c r="Y21" s="6">
        <v>0.16</v>
      </c>
      <c r="Z21" s="6"/>
      <c r="AA21" s="8">
        <f t="shared" si="7"/>
        <v>8.7500000000000008E-2</v>
      </c>
      <c r="AC21" t="s">
        <v>6</v>
      </c>
      <c r="AD21" s="8">
        <f>AA19</f>
        <v>2.75E-2</v>
      </c>
    </row>
    <row r="22" spans="1:30" x14ac:dyDescent="0.25">
      <c r="O22" s="1" t="s">
        <v>4</v>
      </c>
      <c r="P22" s="6">
        <v>0.3</v>
      </c>
      <c r="Q22" s="6">
        <v>0.26</v>
      </c>
      <c r="R22" s="6">
        <v>0.13</v>
      </c>
      <c r="S22" s="6">
        <v>0.25</v>
      </c>
      <c r="T22" s="6">
        <v>0.34</v>
      </c>
      <c r="U22" s="6">
        <v>0.35</v>
      </c>
      <c r="V22" s="6">
        <v>0.28000000000000003</v>
      </c>
      <c r="W22" s="6">
        <v>0.11</v>
      </c>
      <c r="X22" s="6">
        <v>0.28000000000000003</v>
      </c>
      <c r="Y22" s="6">
        <v>0.16</v>
      </c>
      <c r="AA22" s="8">
        <f t="shared" si="7"/>
        <v>0.27</v>
      </c>
      <c r="AC22" t="s">
        <v>2</v>
      </c>
      <c r="AD22" s="8">
        <f>AA25</f>
        <v>0.125</v>
      </c>
    </row>
    <row r="23" spans="1:30" x14ac:dyDescent="0.25">
      <c r="A23" s="1" t="s">
        <v>95</v>
      </c>
      <c r="O23" s="1" t="s">
        <v>75</v>
      </c>
      <c r="P23" s="6">
        <v>0.47</v>
      </c>
      <c r="Q23" s="6">
        <v>0.31</v>
      </c>
      <c r="R23" s="6">
        <v>0.28000000000000003</v>
      </c>
      <c r="S23" s="6">
        <v>0.70499999999999996</v>
      </c>
      <c r="T23" s="6">
        <v>0.19</v>
      </c>
      <c r="U23" s="6">
        <v>0.26</v>
      </c>
      <c r="V23" s="6">
        <v>0.25</v>
      </c>
      <c r="W23" s="6">
        <v>0.1</v>
      </c>
      <c r="X23" s="6">
        <v>0.24</v>
      </c>
      <c r="Y23" s="6">
        <v>0.46</v>
      </c>
      <c r="AA23" s="8">
        <f t="shared" si="7"/>
        <v>0.27</v>
      </c>
    </row>
    <row r="24" spans="1:30" x14ac:dyDescent="0.25">
      <c r="A24" s="1"/>
      <c r="O24" s="1" t="s">
        <v>105</v>
      </c>
      <c r="P24" s="6"/>
      <c r="Q24" s="6"/>
      <c r="R24" s="6"/>
      <c r="S24" s="6"/>
      <c r="T24" s="6">
        <v>0.38</v>
      </c>
      <c r="U24" s="6">
        <v>0.21</v>
      </c>
      <c r="V24" s="6">
        <v>0.01</v>
      </c>
      <c r="W24" s="6"/>
      <c r="X24" s="6"/>
      <c r="Y24" s="6"/>
      <c r="AA24" s="8">
        <f t="shared" si="7"/>
        <v>0.21</v>
      </c>
      <c r="AD24" s="8"/>
    </row>
    <row r="25" spans="1:30" x14ac:dyDescent="0.25">
      <c r="A25" s="1"/>
      <c r="C25" s="1">
        <v>2020</v>
      </c>
      <c r="D25" s="1">
        <v>2030</v>
      </c>
      <c r="O25" s="1" t="s">
        <v>2</v>
      </c>
      <c r="P25" s="6"/>
      <c r="Q25" s="6"/>
      <c r="R25" s="6">
        <v>0.2</v>
      </c>
      <c r="S25" s="6">
        <v>3.5000000000000003E-2</v>
      </c>
      <c r="T25" s="6">
        <v>7.4999999999999997E-2</v>
      </c>
      <c r="U25" s="6">
        <v>0.1</v>
      </c>
      <c r="V25" s="6">
        <v>0.38</v>
      </c>
      <c r="W25" s="6">
        <v>0.15</v>
      </c>
      <c r="X25" s="6">
        <v>0.39</v>
      </c>
      <c r="Y25" s="6">
        <v>0.05</v>
      </c>
      <c r="AA25" s="8">
        <f t="shared" si="7"/>
        <v>0.125</v>
      </c>
    </row>
    <row r="26" spans="1:30" x14ac:dyDescent="0.25">
      <c r="B26" t="s">
        <v>96</v>
      </c>
      <c r="C26" s="6">
        <v>5.5E-2</v>
      </c>
      <c r="D26" s="6">
        <v>0.05</v>
      </c>
      <c r="O26" s="1" t="s">
        <v>108</v>
      </c>
      <c r="P26" s="6"/>
      <c r="Q26" s="6"/>
      <c r="R26" s="6">
        <v>0.05</v>
      </c>
      <c r="S26" s="6"/>
      <c r="T26" s="6"/>
      <c r="U26" s="6"/>
      <c r="V26" s="6"/>
      <c r="W26" s="6"/>
      <c r="X26" s="6"/>
      <c r="Y26" s="6">
        <v>0.03</v>
      </c>
      <c r="AA26" s="8"/>
    </row>
    <row r="27" spans="1:30" x14ac:dyDescent="0.25">
      <c r="B27" t="s">
        <v>98</v>
      </c>
      <c r="C27" s="6">
        <v>0.15</v>
      </c>
      <c r="D27" s="6">
        <v>0.19</v>
      </c>
      <c r="O27" s="1" t="s">
        <v>5</v>
      </c>
      <c r="P27" s="6"/>
      <c r="Q27" s="6"/>
      <c r="R27" s="6"/>
      <c r="S27" s="6"/>
      <c r="T27" s="6">
        <v>5.0000000000000001E-3</v>
      </c>
      <c r="U27" s="6"/>
      <c r="V27" s="6"/>
      <c r="W27" s="6"/>
      <c r="X27" s="6"/>
      <c r="AA27" s="8"/>
    </row>
    <row r="28" spans="1:30" x14ac:dyDescent="0.25">
      <c r="B28" t="s">
        <v>97</v>
      </c>
      <c r="C28" s="6">
        <v>9.5000000000000001E-2</v>
      </c>
      <c r="D28" s="6">
        <v>0.01</v>
      </c>
      <c r="O28" s="1" t="s">
        <v>99</v>
      </c>
      <c r="R28" s="6">
        <v>0.34</v>
      </c>
      <c r="V28" s="6"/>
      <c r="W28" s="6"/>
      <c r="X28" s="6"/>
      <c r="Y28" s="8"/>
      <c r="AA28" s="8"/>
    </row>
    <row r="29" spans="1:30" x14ac:dyDescent="0.25">
      <c r="B29" t="s">
        <v>99</v>
      </c>
      <c r="C29" s="6">
        <v>0</v>
      </c>
      <c r="D29" s="6">
        <v>0.34</v>
      </c>
      <c r="AA29" s="8">
        <f>SUM(AA19:AA27)</f>
        <v>1.0449999999999999</v>
      </c>
    </row>
    <row r="30" spans="1:30" x14ac:dyDescent="0.25">
      <c r="B30" t="s">
        <v>75</v>
      </c>
      <c r="C30" s="6">
        <v>0.06</v>
      </c>
      <c r="D30" s="6">
        <v>0.28000000000000003</v>
      </c>
      <c r="P30" s="8"/>
      <c r="Q30" s="8"/>
      <c r="R30" s="8"/>
      <c r="S30" s="8"/>
      <c r="T30" s="8"/>
      <c r="U30" s="8"/>
      <c r="V30" s="8"/>
      <c r="W30" s="8"/>
      <c r="X30" s="8"/>
      <c r="Y30" s="8"/>
    </row>
    <row r="31" spans="1:30" x14ac:dyDescent="0.25">
      <c r="B31" t="s">
        <v>4</v>
      </c>
      <c r="C31" s="6">
        <v>0.57999999999999996</v>
      </c>
      <c r="D31" s="6">
        <v>0.13</v>
      </c>
      <c r="X31" s="7"/>
      <c r="Y31" s="7"/>
      <c r="Z31" s="7"/>
    </row>
    <row r="32" spans="1:30" x14ac:dyDescent="0.25">
      <c r="B32" t="s">
        <v>88</v>
      </c>
      <c r="C32" s="6">
        <v>0.06</v>
      </c>
      <c r="D32" s="6">
        <v>0</v>
      </c>
      <c r="O32" s="77">
        <v>2040</v>
      </c>
      <c r="P32" s="77"/>
      <c r="Q32" s="77"/>
      <c r="R32" s="77"/>
      <c r="S32" s="77"/>
      <c r="T32" s="51"/>
      <c r="U32" s="51"/>
      <c r="V32" s="77">
        <v>2040</v>
      </c>
      <c r="W32" s="77"/>
      <c r="X32" s="77"/>
      <c r="Y32" s="77"/>
      <c r="Z32" s="77"/>
    </row>
    <row r="33" spans="1:26" x14ac:dyDescent="0.25">
      <c r="O33" s="1"/>
      <c r="P33" s="1" t="s">
        <v>127</v>
      </c>
      <c r="Q33" s="1" t="s">
        <v>128</v>
      </c>
      <c r="R33" s="1" t="s">
        <v>129</v>
      </c>
      <c r="S33" s="1"/>
      <c r="V33" s="1"/>
      <c r="W33" s="1" t="s">
        <v>127</v>
      </c>
      <c r="X33" s="1" t="s">
        <v>128</v>
      </c>
      <c r="Y33" s="1" t="s">
        <v>129</v>
      </c>
      <c r="Z33" s="1" t="s">
        <v>130</v>
      </c>
    </row>
    <row r="34" spans="1:26" x14ac:dyDescent="0.25">
      <c r="B34" s="1" t="s">
        <v>7</v>
      </c>
      <c r="C34" s="8">
        <f>SUM(C26:C32)</f>
        <v>1</v>
      </c>
      <c r="D34" s="8">
        <f>SUM(D26:D32)</f>
        <v>1</v>
      </c>
      <c r="O34" t="s">
        <v>2</v>
      </c>
      <c r="P34" s="6">
        <v>0</v>
      </c>
      <c r="Q34" s="6">
        <v>0.32</v>
      </c>
      <c r="R34" s="6">
        <v>0.125</v>
      </c>
      <c r="S34" s="6"/>
      <c r="T34" s="8">
        <f>MEDIAN(P34:R34)</f>
        <v>0.125</v>
      </c>
      <c r="U34" s="8"/>
      <c r="V34" t="s">
        <v>2</v>
      </c>
      <c r="W34" s="6">
        <v>0</v>
      </c>
      <c r="X34" s="6">
        <v>0.32</v>
      </c>
      <c r="Y34" s="6">
        <v>0.125</v>
      </c>
      <c r="Z34" s="6">
        <v>0.12</v>
      </c>
    </row>
    <row r="35" spans="1:26" x14ac:dyDescent="0.25">
      <c r="O35" t="s">
        <v>81</v>
      </c>
      <c r="P35" s="6">
        <v>0</v>
      </c>
      <c r="Q35" s="6">
        <v>1.4999999999999999E-2</v>
      </c>
      <c r="R35" s="6">
        <v>0.01</v>
      </c>
      <c r="S35" s="6"/>
      <c r="T35" s="8">
        <f t="shared" ref="T35:T40" si="8">MEDIAN(P35:R35)</f>
        <v>0.01</v>
      </c>
      <c r="U35" s="8"/>
      <c r="V35" t="s">
        <v>81</v>
      </c>
      <c r="W35" s="6">
        <v>0</v>
      </c>
      <c r="X35" s="6">
        <v>1.4999999999999999E-2</v>
      </c>
      <c r="Y35" s="6">
        <v>0.01</v>
      </c>
      <c r="Z35" s="6">
        <v>0.01</v>
      </c>
    </row>
    <row r="36" spans="1:26" x14ac:dyDescent="0.25">
      <c r="O36" t="s">
        <v>88</v>
      </c>
      <c r="P36" s="6">
        <v>0</v>
      </c>
      <c r="Q36" s="6">
        <v>0.03</v>
      </c>
      <c r="R36" s="6">
        <v>0.01</v>
      </c>
      <c r="S36" s="6"/>
      <c r="T36" s="8">
        <f t="shared" si="8"/>
        <v>0.01</v>
      </c>
      <c r="U36" s="8"/>
      <c r="V36" t="s">
        <v>88</v>
      </c>
      <c r="W36" s="6">
        <v>0</v>
      </c>
      <c r="X36" s="6">
        <v>0.03</v>
      </c>
      <c r="Y36" s="6">
        <v>0.01</v>
      </c>
      <c r="Z36" s="6">
        <v>0.01</v>
      </c>
    </row>
    <row r="37" spans="1:26" x14ac:dyDescent="0.25">
      <c r="A37" s="1" t="s">
        <v>100</v>
      </c>
      <c r="O37" t="s">
        <v>4</v>
      </c>
      <c r="P37" s="6">
        <v>0.24</v>
      </c>
      <c r="Q37" s="6">
        <v>0.12</v>
      </c>
      <c r="R37" s="6">
        <v>0.05</v>
      </c>
      <c r="S37" s="6"/>
      <c r="T37" s="8">
        <f>MEDIAN(P37,(Q41 +Q37),(R37+R41))</f>
        <v>0.22999999999999998</v>
      </c>
      <c r="U37" s="8"/>
      <c r="V37" t="s">
        <v>4</v>
      </c>
      <c r="W37" s="6">
        <v>0.24</v>
      </c>
      <c r="X37" s="6">
        <v>0.12</v>
      </c>
      <c r="Y37" s="6">
        <v>0.05</v>
      </c>
      <c r="Z37" s="6">
        <v>0.05</v>
      </c>
    </row>
    <row r="38" spans="1:26" x14ac:dyDescent="0.25">
      <c r="O38" t="s">
        <v>83</v>
      </c>
      <c r="P38" s="6">
        <v>0.36</v>
      </c>
      <c r="Q38" s="6"/>
      <c r="T38" s="8">
        <f>MEDIAN(P38,(Q42),R42)</f>
        <v>0.21</v>
      </c>
      <c r="U38" s="8"/>
      <c r="V38" t="s">
        <v>83</v>
      </c>
      <c r="W38" s="6">
        <v>0.36</v>
      </c>
      <c r="X38" s="6"/>
    </row>
    <row r="39" spans="1:26" x14ac:dyDescent="0.25">
      <c r="B39" s="1" t="s">
        <v>102</v>
      </c>
      <c r="C39" s="1">
        <v>2020</v>
      </c>
      <c r="D39" s="1">
        <v>2030</v>
      </c>
      <c r="G39" s="1" t="s">
        <v>103</v>
      </c>
      <c r="H39" s="1">
        <v>2020</v>
      </c>
      <c r="I39" s="1">
        <v>2030</v>
      </c>
      <c r="O39" t="s">
        <v>110</v>
      </c>
      <c r="P39" s="6">
        <v>0.4</v>
      </c>
      <c r="Q39" s="6"/>
      <c r="T39" s="8">
        <f>MEDIAN(P39,Q43,R43)</f>
        <v>0.17</v>
      </c>
      <c r="U39" s="8"/>
      <c r="V39" t="s">
        <v>110</v>
      </c>
      <c r="W39" s="6">
        <v>0.4</v>
      </c>
      <c r="X39" s="6"/>
    </row>
    <row r="40" spans="1:26" x14ac:dyDescent="0.25">
      <c r="B40" t="s">
        <v>5</v>
      </c>
      <c r="C40" s="6">
        <v>0</v>
      </c>
      <c r="D40" s="6">
        <v>0</v>
      </c>
      <c r="G40" t="s">
        <v>5</v>
      </c>
      <c r="H40" s="6">
        <v>0.02</v>
      </c>
      <c r="I40" s="6">
        <v>0</v>
      </c>
      <c r="O40" t="s">
        <v>6</v>
      </c>
      <c r="P40" s="6">
        <v>0</v>
      </c>
      <c r="Q40" s="6">
        <v>2.5000000000000001E-2</v>
      </c>
      <c r="R40" s="6">
        <v>0.60499999999999998</v>
      </c>
      <c r="S40" s="6"/>
      <c r="T40" s="8">
        <f t="shared" si="8"/>
        <v>2.5000000000000001E-2</v>
      </c>
      <c r="U40" s="8"/>
      <c r="V40" t="s">
        <v>6</v>
      </c>
      <c r="W40" s="6">
        <v>0</v>
      </c>
      <c r="X40" s="6">
        <v>2.5000000000000001E-2</v>
      </c>
      <c r="Y40" s="6">
        <v>0.60499999999999998</v>
      </c>
      <c r="Z40" s="6">
        <v>0.01</v>
      </c>
    </row>
    <row r="41" spans="1:26" x14ac:dyDescent="0.25">
      <c r="B41" t="s">
        <v>6</v>
      </c>
      <c r="C41" s="6">
        <v>0.1</v>
      </c>
      <c r="D41" s="6">
        <v>0.02</v>
      </c>
      <c r="G41" t="s">
        <v>6</v>
      </c>
      <c r="H41" s="6">
        <v>0</v>
      </c>
      <c r="I41" s="6">
        <v>0</v>
      </c>
      <c r="O41" t="s">
        <v>89</v>
      </c>
      <c r="Q41" s="6">
        <v>0.11</v>
      </c>
      <c r="R41" s="6">
        <v>0.05</v>
      </c>
      <c r="S41" s="6"/>
      <c r="T41" s="8"/>
      <c r="U41" s="8"/>
      <c r="V41" t="s">
        <v>89</v>
      </c>
      <c r="X41" s="6">
        <v>0.11</v>
      </c>
      <c r="Y41" s="6">
        <v>0.05</v>
      </c>
      <c r="Z41" s="6">
        <v>0.04</v>
      </c>
    </row>
    <row r="42" spans="1:26" x14ac:dyDescent="0.25">
      <c r="B42" t="s">
        <v>2</v>
      </c>
      <c r="C42" s="6">
        <v>0.02</v>
      </c>
      <c r="D42" s="6">
        <v>0</v>
      </c>
      <c r="G42" t="s">
        <v>2</v>
      </c>
      <c r="H42" s="6">
        <v>0.26</v>
      </c>
      <c r="I42" s="6">
        <v>7.0000000000000007E-2</v>
      </c>
      <c r="O42" t="s">
        <v>90</v>
      </c>
      <c r="Q42" s="6">
        <v>0.21</v>
      </c>
      <c r="R42" s="6">
        <v>0.08</v>
      </c>
      <c r="S42" s="6"/>
      <c r="T42" s="8"/>
      <c r="U42" s="8"/>
      <c r="V42" t="s">
        <v>90</v>
      </c>
      <c r="X42" s="6">
        <v>0.21</v>
      </c>
      <c r="Y42" s="6">
        <v>0.08</v>
      </c>
      <c r="Z42" s="6">
        <v>0.08</v>
      </c>
    </row>
    <row r="43" spans="1:26" x14ac:dyDescent="0.25">
      <c r="B43" t="s">
        <v>101</v>
      </c>
      <c r="C43" s="6">
        <v>0</v>
      </c>
      <c r="D43" s="6">
        <v>0</v>
      </c>
      <c r="G43" t="s">
        <v>101</v>
      </c>
      <c r="H43" s="6">
        <v>0</v>
      </c>
      <c r="I43" s="6">
        <v>0</v>
      </c>
      <c r="O43" t="s">
        <v>91</v>
      </c>
      <c r="Q43" s="6">
        <v>0.17</v>
      </c>
      <c r="R43" s="6">
        <v>7.0000000000000007E-2</v>
      </c>
      <c r="S43" s="6"/>
      <c r="T43" s="8"/>
      <c r="U43" s="8"/>
      <c r="V43" t="s">
        <v>91</v>
      </c>
      <c r="X43" s="6">
        <v>0.17</v>
      </c>
      <c r="Y43" s="6">
        <v>7.0000000000000007E-2</v>
      </c>
      <c r="Z43" s="6">
        <v>7.0000000000000007E-2</v>
      </c>
    </row>
    <row r="44" spans="1:26" x14ac:dyDescent="0.25">
      <c r="B44" t="s">
        <v>4</v>
      </c>
      <c r="C44" s="6">
        <v>0.73</v>
      </c>
      <c r="D44" s="6">
        <v>0.34</v>
      </c>
      <c r="G44" t="s">
        <v>4</v>
      </c>
      <c r="H44" s="6">
        <v>0.4</v>
      </c>
      <c r="I44" s="6">
        <v>0.16</v>
      </c>
      <c r="O44" t="s">
        <v>93</v>
      </c>
      <c r="S44" s="6"/>
      <c r="U44" s="8"/>
      <c r="V44" t="s">
        <v>93</v>
      </c>
      <c r="Z44" s="6">
        <v>0.31</v>
      </c>
    </row>
    <row r="45" spans="1:26" x14ac:dyDescent="0.25">
      <c r="B45" t="s">
        <v>75</v>
      </c>
      <c r="C45" s="6">
        <v>0.15</v>
      </c>
      <c r="D45" s="6">
        <v>0.64</v>
      </c>
      <c r="G45" t="s">
        <v>75</v>
      </c>
      <c r="H45" s="6">
        <v>0.32</v>
      </c>
      <c r="I45" s="6">
        <v>0.77</v>
      </c>
      <c r="M45" s="39"/>
      <c r="O45" t="s">
        <v>94</v>
      </c>
      <c r="S45" s="6"/>
      <c r="U45" s="8"/>
      <c r="V45" t="s">
        <v>94</v>
      </c>
      <c r="Z45" s="6">
        <v>0.3</v>
      </c>
    </row>
    <row r="46" spans="1:26" x14ac:dyDescent="0.25">
      <c r="T46" s="8">
        <f>SUM(T34:T43)</f>
        <v>0.78</v>
      </c>
    </row>
    <row r="47" spans="1:26" x14ac:dyDescent="0.25">
      <c r="B47" s="1" t="s">
        <v>7</v>
      </c>
      <c r="C47" s="8">
        <f>SUM(C40:C45)</f>
        <v>1</v>
      </c>
      <c r="D47" s="8">
        <f>SUM(D40:D45)</f>
        <v>1</v>
      </c>
      <c r="G47" s="1" t="s">
        <v>7</v>
      </c>
      <c r="H47" s="8">
        <f>SUM(H40:H45)</f>
        <v>1</v>
      </c>
      <c r="I47" s="8">
        <f>SUM(I40:I45)</f>
        <v>1</v>
      </c>
      <c r="U47" s="8"/>
      <c r="W47" s="1"/>
      <c r="Y47" s="1"/>
      <c r="Z47" s="1"/>
    </row>
    <row r="48" spans="1:26" x14ac:dyDescent="0.25">
      <c r="O48" s="77">
        <v>2050</v>
      </c>
      <c r="P48" s="77"/>
      <c r="Q48" s="77"/>
      <c r="R48" s="77"/>
      <c r="S48" s="77"/>
      <c r="V48" s="77">
        <v>2050</v>
      </c>
      <c r="W48" s="77"/>
      <c r="X48" s="77"/>
      <c r="Y48" s="77"/>
      <c r="Z48" s="77"/>
    </row>
    <row r="49" spans="1:26" x14ac:dyDescent="0.25">
      <c r="O49" s="1"/>
      <c r="P49" s="1" t="s">
        <v>127</v>
      </c>
      <c r="Q49" s="1" t="s">
        <v>128</v>
      </c>
      <c r="R49" s="1" t="s">
        <v>129</v>
      </c>
      <c r="S49" s="1"/>
      <c r="V49" s="1"/>
      <c r="W49" s="1" t="s">
        <v>127</v>
      </c>
      <c r="X49" s="1" t="s">
        <v>128</v>
      </c>
      <c r="Y49" s="1" t="s">
        <v>129</v>
      </c>
      <c r="Z49" s="1" t="s">
        <v>130</v>
      </c>
    </row>
    <row r="50" spans="1:26" x14ac:dyDescent="0.25">
      <c r="A50" s="1" t="s">
        <v>104</v>
      </c>
      <c r="O50" t="s">
        <v>2</v>
      </c>
      <c r="P50" s="6">
        <v>0</v>
      </c>
      <c r="Q50" s="6">
        <v>0.255</v>
      </c>
      <c r="R50" s="6">
        <v>0.1</v>
      </c>
      <c r="S50" s="6"/>
      <c r="T50" s="8">
        <f>MEDIAN(P50:R50)</f>
        <v>0.1</v>
      </c>
      <c r="V50" t="s">
        <v>2</v>
      </c>
      <c r="W50" s="6">
        <v>0</v>
      </c>
      <c r="X50" s="6">
        <v>0.255</v>
      </c>
      <c r="Y50" s="6">
        <v>0.1</v>
      </c>
      <c r="Z50" s="6">
        <v>9.5000000000000001E-2</v>
      </c>
    </row>
    <row r="51" spans="1:26" x14ac:dyDescent="0.25">
      <c r="O51" t="s">
        <v>81</v>
      </c>
      <c r="P51" s="6">
        <v>0</v>
      </c>
      <c r="Q51" s="6">
        <v>1.4999999999999999E-2</v>
      </c>
      <c r="R51" s="6">
        <v>5.0000000000000001E-3</v>
      </c>
      <c r="S51" s="6"/>
      <c r="T51" s="8">
        <f>MEDIAN(P51:R51)</f>
        <v>5.0000000000000001E-3</v>
      </c>
      <c r="V51" t="s">
        <v>81</v>
      </c>
      <c r="W51" s="6">
        <v>0</v>
      </c>
      <c r="X51" s="6">
        <v>1.4999999999999999E-2</v>
      </c>
      <c r="Y51" s="6">
        <v>5.0000000000000001E-3</v>
      </c>
      <c r="Z51" s="6">
        <v>0.01</v>
      </c>
    </row>
    <row r="52" spans="1:26" x14ac:dyDescent="0.25">
      <c r="B52" s="1" t="s">
        <v>102</v>
      </c>
      <c r="C52" s="1">
        <v>2020</v>
      </c>
      <c r="D52" s="1">
        <v>2030</v>
      </c>
      <c r="G52" s="1" t="s">
        <v>103</v>
      </c>
      <c r="H52" s="1">
        <v>2020</v>
      </c>
      <c r="I52" s="1">
        <v>2030</v>
      </c>
      <c r="O52" t="s">
        <v>88</v>
      </c>
      <c r="P52" s="6">
        <v>0</v>
      </c>
      <c r="Q52" s="6">
        <v>0.02</v>
      </c>
      <c r="R52" s="6">
        <v>0.01</v>
      </c>
      <c r="S52" s="6"/>
      <c r="T52" s="8">
        <f>MEDIAN(P52:R52)</f>
        <v>0.01</v>
      </c>
      <c r="V52" t="s">
        <v>88</v>
      </c>
      <c r="W52" s="6">
        <v>0</v>
      </c>
      <c r="X52" s="6">
        <v>0.02</v>
      </c>
      <c r="Y52" s="6">
        <v>0.01</v>
      </c>
      <c r="Z52" s="6">
        <v>0.01</v>
      </c>
    </row>
    <row r="53" spans="1:26" x14ac:dyDescent="0.25">
      <c r="B53" t="s">
        <v>5</v>
      </c>
      <c r="C53" s="6">
        <v>0</v>
      </c>
      <c r="D53" s="6">
        <v>0</v>
      </c>
      <c r="G53" t="s">
        <v>5</v>
      </c>
      <c r="H53" s="6">
        <v>0.02</v>
      </c>
      <c r="I53" s="6">
        <v>0.01</v>
      </c>
      <c r="O53" t="s">
        <v>4</v>
      </c>
      <c r="P53" s="6">
        <v>0.1</v>
      </c>
      <c r="Q53" s="6">
        <v>0.09</v>
      </c>
      <c r="R53" s="6">
        <v>0.04</v>
      </c>
      <c r="S53" s="6"/>
      <c r="T53" s="8">
        <f>MEDIAN(P53,(Q53+Q56),(R53+R56))</f>
        <v>0.11</v>
      </c>
      <c r="V53" t="s">
        <v>4</v>
      </c>
      <c r="W53" s="6">
        <v>0.1</v>
      </c>
      <c r="X53" s="6">
        <v>0.09</v>
      </c>
      <c r="Y53" s="6">
        <v>0.04</v>
      </c>
      <c r="Z53" s="6">
        <v>0.04</v>
      </c>
    </row>
    <row r="54" spans="1:26" x14ac:dyDescent="0.25">
      <c r="B54" t="s">
        <v>6</v>
      </c>
      <c r="C54" s="6">
        <v>0.1</v>
      </c>
      <c r="D54" s="6">
        <v>0.02</v>
      </c>
      <c r="G54" t="s">
        <v>6</v>
      </c>
      <c r="H54" s="6">
        <v>0</v>
      </c>
      <c r="I54" s="6">
        <v>0</v>
      </c>
      <c r="O54" t="s">
        <v>83</v>
      </c>
      <c r="P54" s="6">
        <v>0.4</v>
      </c>
      <c r="T54" s="8">
        <f>MEDIAN(P54,Q58,R58)</f>
        <v>0.17</v>
      </c>
      <c r="V54" t="s">
        <v>83</v>
      </c>
      <c r="W54" s="6">
        <v>0.4</v>
      </c>
    </row>
    <row r="55" spans="1:26" x14ac:dyDescent="0.25">
      <c r="B55" t="s">
        <v>2</v>
      </c>
      <c r="C55" s="6">
        <v>0.02</v>
      </c>
      <c r="D55" s="6">
        <v>0.01</v>
      </c>
      <c r="G55" t="s">
        <v>2</v>
      </c>
      <c r="H55" s="6">
        <v>0.26</v>
      </c>
      <c r="I55" s="6">
        <v>0.14000000000000001</v>
      </c>
      <c r="O55" t="s">
        <v>110</v>
      </c>
      <c r="P55" s="6">
        <v>0.5</v>
      </c>
      <c r="T55" s="8">
        <f>MEDIAN(P55,Q59,R59)</f>
        <v>0.33</v>
      </c>
      <c r="V55" t="s">
        <v>110</v>
      </c>
      <c r="W55" s="6">
        <v>0.5</v>
      </c>
    </row>
    <row r="56" spans="1:26" x14ac:dyDescent="0.25">
      <c r="B56" t="s">
        <v>101</v>
      </c>
      <c r="C56" s="6">
        <v>0</v>
      </c>
      <c r="D56" s="6">
        <v>0</v>
      </c>
      <c r="G56" t="s">
        <v>101</v>
      </c>
      <c r="H56" s="6">
        <v>0</v>
      </c>
      <c r="I56" s="6">
        <v>0</v>
      </c>
      <c r="O56" t="s">
        <v>6</v>
      </c>
      <c r="P56" s="6">
        <v>0</v>
      </c>
      <c r="Q56" s="6">
        <v>0.02</v>
      </c>
      <c r="R56" s="6">
        <v>0.60499999999999998</v>
      </c>
      <c r="S56" s="6"/>
      <c r="T56" s="8">
        <f>MEDIAN(P56:R56)</f>
        <v>0.02</v>
      </c>
      <c r="V56" t="s">
        <v>6</v>
      </c>
      <c r="W56" s="6">
        <v>0</v>
      </c>
      <c r="X56" s="6">
        <v>0.02</v>
      </c>
      <c r="Y56" s="6">
        <v>0.60499999999999998</v>
      </c>
      <c r="Z56" s="6">
        <v>5.0000000000000001E-3</v>
      </c>
    </row>
    <row r="57" spans="1:26" x14ac:dyDescent="0.25">
      <c r="B57" t="s">
        <v>4</v>
      </c>
      <c r="C57" s="6">
        <v>0.73</v>
      </c>
      <c r="D57" s="6">
        <v>0.45</v>
      </c>
      <c r="G57" t="s">
        <v>4</v>
      </c>
      <c r="H57" s="6">
        <v>0.4</v>
      </c>
      <c r="I57" s="6">
        <v>0.23</v>
      </c>
      <c r="O57" t="s">
        <v>89</v>
      </c>
      <c r="Q57" s="6">
        <v>0.1</v>
      </c>
      <c r="R57" s="6">
        <v>0.04</v>
      </c>
      <c r="S57" s="6"/>
      <c r="T57" s="8"/>
      <c r="V57" t="s">
        <v>89</v>
      </c>
      <c r="X57" s="6">
        <v>0.1</v>
      </c>
      <c r="Y57" s="6">
        <v>0.04</v>
      </c>
      <c r="Z57" s="6">
        <v>0.03</v>
      </c>
    </row>
    <row r="58" spans="1:26" x14ac:dyDescent="0.25">
      <c r="B58" t="s">
        <v>75</v>
      </c>
      <c r="C58" s="6">
        <v>0.15</v>
      </c>
      <c r="D58" s="6">
        <v>0.13</v>
      </c>
      <c r="G58" t="s">
        <v>75</v>
      </c>
      <c r="H58" s="6">
        <v>0.32</v>
      </c>
      <c r="I58" s="6">
        <v>0.25</v>
      </c>
      <c r="O58" t="s">
        <v>90</v>
      </c>
      <c r="Q58" s="6">
        <v>0.17</v>
      </c>
      <c r="R58" s="6">
        <v>7.0000000000000007E-2</v>
      </c>
      <c r="S58" s="6"/>
      <c r="T58" s="8"/>
      <c r="V58" t="s">
        <v>90</v>
      </c>
      <c r="X58" s="6">
        <v>0.17</v>
      </c>
      <c r="Y58" s="6">
        <v>7.0000000000000007E-2</v>
      </c>
      <c r="Z58" s="6">
        <v>7.0000000000000007E-2</v>
      </c>
    </row>
    <row r="59" spans="1:26" x14ac:dyDescent="0.25">
      <c r="B59" t="s">
        <v>105</v>
      </c>
      <c r="C59" s="6">
        <v>0</v>
      </c>
      <c r="D59" s="6">
        <v>0.39</v>
      </c>
      <c r="G59" t="s">
        <v>105</v>
      </c>
      <c r="H59" s="6">
        <v>0</v>
      </c>
      <c r="I59" s="6">
        <v>0.37</v>
      </c>
      <c r="O59" t="s">
        <v>91</v>
      </c>
      <c r="Q59" s="6">
        <v>0.33</v>
      </c>
      <c r="R59" s="6">
        <v>0.13</v>
      </c>
      <c r="S59" s="6"/>
      <c r="T59" s="8"/>
      <c r="V59" t="s">
        <v>91</v>
      </c>
      <c r="X59" s="6">
        <v>0.33</v>
      </c>
      <c r="Y59" s="6">
        <v>0.13</v>
      </c>
      <c r="Z59" s="6">
        <v>0.13</v>
      </c>
    </row>
    <row r="60" spans="1:26" x14ac:dyDescent="0.25">
      <c r="O60" t="s">
        <v>93</v>
      </c>
      <c r="S60" s="6"/>
      <c r="V60" t="s">
        <v>93</v>
      </c>
      <c r="Z60" s="6">
        <v>0.31</v>
      </c>
    </row>
    <row r="61" spans="1:26" x14ac:dyDescent="0.25">
      <c r="B61" s="1" t="s">
        <v>7</v>
      </c>
      <c r="C61" s="8">
        <f>SUM(C53:C59)</f>
        <v>1</v>
      </c>
      <c r="D61" s="8">
        <f>SUM(D53:D59)</f>
        <v>1</v>
      </c>
      <c r="G61" s="1" t="s">
        <v>7</v>
      </c>
      <c r="H61" s="8">
        <f>SUM(H53:H59)</f>
        <v>1</v>
      </c>
      <c r="I61" s="8">
        <f>SUM(I53:I59)</f>
        <v>1</v>
      </c>
      <c r="O61" t="s">
        <v>94</v>
      </c>
      <c r="S61" s="6"/>
      <c r="T61" s="8">
        <f>SUM(T50:T59)</f>
        <v>0.74500000000000011</v>
      </c>
      <c r="V61" t="s">
        <v>94</v>
      </c>
      <c r="Z61" s="6">
        <v>0.3</v>
      </c>
    </row>
    <row r="62" spans="1:26" x14ac:dyDescent="0.25">
      <c r="U62" s="6"/>
    </row>
    <row r="63" spans="1:26" x14ac:dyDescent="0.25">
      <c r="U63" s="6"/>
    </row>
    <row r="64" spans="1:26" x14ac:dyDescent="0.25">
      <c r="R64" s="1"/>
      <c r="U64" s="6"/>
    </row>
    <row r="65" spans="1:21" x14ac:dyDescent="0.25">
      <c r="A65" s="1" t="s">
        <v>109</v>
      </c>
      <c r="U65" s="6"/>
    </row>
    <row r="68" spans="1:21" x14ac:dyDescent="0.25">
      <c r="B68" s="1" t="s">
        <v>80</v>
      </c>
      <c r="C68" s="1">
        <v>2020</v>
      </c>
      <c r="D68" s="1">
        <v>2030</v>
      </c>
      <c r="E68" s="1">
        <v>2040</v>
      </c>
      <c r="F68" s="1">
        <v>2050</v>
      </c>
    </row>
    <row r="69" spans="1:21" x14ac:dyDescent="0.25">
      <c r="B69" t="s">
        <v>2</v>
      </c>
      <c r="C69" s="6">
        <v>0.19</v>
      </c>
      <c r="D69" s="6">
        <v>0.1</v>
      </c>
      <c r="E69" s="6">
        <v>0</v>
      </c>
      <c r="F69" s="6">
        <v>0</v>
      </c>
    </row>
    <row r="70" spans="1:21" x14ac:dyDescent="0.25">
      <c r="B70" t="s">
        <v>81</v>
      </c>
      <c r="C70" s="6">
        <v>0.24</v>
      </c>
      <c r="D70" s="6">
        <v>0.08</v>
      </c>
      <c r="E70" s="6">
        <v>0</v>
      </c>
      <c r="F70" s="6">
        <v>0</v>
      </c>
    </row>
    <row r="71" spans="1:21" x14ac:dyDescent="0.25">
      <c r="B71" t="s">
        <v>88</v>
      </c>
      <c r="C71" s="6">
        <v>0</v>
      </c>
      <c r="D71" s="6">
        <v>0</v>
      </c>
      <c r="E71" s="6">
        <v>0</v>
      </c>
      <c r="F71" s="6">
        <v>0</v>
      </c>
    </row>
    <row r="72" spans="1:21" x14ac:dyDescent="0.25">
      <c r="B72" t="s">
        <v>4</v>
      </c>
      <c r="C72" s="6">
        <v>0.44</v>
      </c>
      <c r="D72" s="6">
        <v>0.35</v>
      </c>
      <c r="E72" s="6">
        <v>0.24</v>
      </c>
      <c r="F72" s="6">
        <v>0.1</v>
      </c>
    </row>
    <row r="73" spans="1:21" x14ac:dyDescent="0.25">
      <c r="B73" t="s">
        <v>83</v>
      </c>
      <c r="C73" s="6">
        <v>0.11</v>
      </c>
      <c r="D73" s="6">
        <v>0.26</v>
      </c>
      <c r="E73" s="6">
        <v>0.36</v>
      </c>
      <c r="F73" s="6">
        <v>0.4</v>
      </c>
    </row>
    <row r="74" spans="1:21" x14ac:dyDescent="0.25">
      <c r="B74" t="s">
        <v>110</v>
      </c>
      <c r="C74" s="6">
        <v>0</v>
      </c>
      <c r="D74" s="6">
        <v>0.21</v>
      </c>
      <c r="E74" s="6">
        <v>0.4</v>
      </c>
      <c r="F74" s="6">
        <v>0.5</v>
      </c>
    </row>
    <row r="75" spans="1:21" x14ac:dyDescent="0.25">
      <c r="B75" t="s">
        <v>6</v>
      </c>
      <c r="C75" s="6">
        <v>0.02</v>
      </c>
      <c r="D75" s="6">
        <v>0</v>
      </c>
      <c r="E75" s="6">
        <v>0</v>
      </c>
      <c r="F75" s="6">
        <v>0</v>
      </c>
    </row>
    <row r="77" spans="1:21" x14ac:dyDescent="0.25">
      <c r="B77" s="1" t="s">
        <v>7</v>
      </c>
      <c r="C77" s="50">
        <f>SUM(C69:C75)</f>
        <v>1</v>
      </c>
      <c r="D77" s="50">
        <f>SUM(D69:D75)</f>
        <v>1</v>
      </c>
      <c r="E77" s="50">
        <f>SUM(E69:E75)</f>
        <v>1</v>
      </c>
      <c r="F77" s="50">
        <f>SUM(F69:F75)</f>
        <v>1</v>
      </c>
    </row>
    <row r="80" spans="1:21" x14ac:dyDescent="0.25">
      <c r="B80" s="1" t="s">
        <v>87</v>
      </c>
    </row>
    <row r="82" spans="1:22" x14ac:dyDescent="0.25">
      <c r="A82" s="1" t="s">
        <v>80</v>
      </c>
      <c r="C82" s="1">
        <v>2020</v>
      </c>
      <c r="D82" s="1">
        <v>2030</v>
      </c>
      <c r="E82" s="1">
        <v>2040</v>
      </c>
      <c r="F82" s="1">
        <v>2050</v>
      </c>
      <c r="I82" s="1" t="s">
        <v>84</v>
      </c>
      <c r="K82" s="1">
        <v>2020</v>
      </c>
      <c r="L82" s="1">
        <v>2030</v>
      </c>
      <c r="M82" s="1">
        <v>2040</v>
      </c>
      <c r="N82" s="1">
        <v>2050</v>
      </c>
      <c r="Q82" s="1" t="s">
        <v>92</v>
      </c>
      <c r="S82" s="1">
        <v>2020</v>
      </c>
      <c r="T82" s="1">
        <v>2030</v>
      </c>
      <c r="U82" s="1">
        <v>2040</v>
      </c>
      <c r="V82" s="1">
        <v>2050</v>
      </c>
    </row>
    <row r="83" spans="1:22" x14ac:dyDescent="0.25">
      <c r="B83" t="s">
        <v>2</v>
      </c>
      <c r="C83" s="6">
        <v>0.375</v>
      </c>
      <c r="D83" s="6">
        <v>0.38</v>
      </c>
      <c r="E83" s="6">
        <v>0.32</v>
      </c>
      <c r="F83" s="6">
        <v>0.255</v>
      </c>
      <c r="J83" t="s">
        <v>2</v>
      </c>
      <c r="K83" s="6">
        <v>0.375</v>
      </c>
      <c r="L83" s="6">
        <v>0.15</v>
      </c>
      <c r="M83" s="6">
        <v>0.125</v>
      </c>
      <c r="N83" s="6">
        <v>0.1</v>
      </c>
      <c r="R83" t="s">
        <v>2</v>
      </c>
      <c r="S83" s="6">
        <v>0.375</v>
      </c>
      <c r="T83" s="7">
        <v>0.39</v>
      </c>
      <c r="U83" s="6">
        <v>0.12</v>
      </c>
      <c r="V83" s="6">
        <v>9.5000000000000001E-2</v>
      </c>
    </row>
    <row r="84" spans="1:22" x14ac:dyDescent="0.25">
      <c r="B84" t="s">
        <v>81</v>
      </c>
      <c r="C84" s="6">
        <v>0.04</v>
      </c>
      <c r="D84" s="6">
        <v>0.02</v>
      </c>
      <c r="E84" s="6">
        <v>1.4999999999999999E-2</v>
      </c>
      <c r="F84" s="6">
        <v>1.4999999999999999E-2</v>
      </c>
      <c r="J84" t="s">
        <v>81</v>
      </c>
      <c r="K84" s="6">
        <v>0.04</v>
      </c>
      <c r="L84" s="6">
        <v>0.01</v>
      </c>
      <c r="M84" s="6">
        <v>0.01</v>
      </c>
      <c r="N84" s="6">
        <v>5.0000000000000001E-3</v>
      </c>
      <c r="R84" t="s">
        <v>81</v>
      </c>
      <c r="S84" s="6">
        <v>0.04</v>
      </c>
      <c r="T84" s="7">
        <v>0.03</v>
      </c>
      <c r="U84" s="6">
        <v>0.01</v>
      </c>
      <c r="V84" s="6">
        <v>0.01</v>
      </c>
    </row>
    <row r="85" spans="1:22" x14ac:dyDescent="0.25">
      <c r="B85" t="s">
        <v>88</v>
      </c>
      <c r="C85" s="6">
        <v>0.11</v>
      </c>
      <c r="D85" s="6">
        <v>3.5000000000000003E-2</v>
      </c>
      <c r="E85" s="6">
        <v>0.03</v>
      </c>
      <c r="F85" s="6">
        <v>0.02</v>
      </c>
      <c r="J85" t="s">
        <v>88</v>
      </c>
      <c r="K85" s="6">
        <v>0.11</v>
      </c>
      <c r="L85" s="6">
        <v>0.02</v>
      </c>
      <c r="M85" s="6">
        <v>0.01</v>
      </c>
      <c r="N85" s="6">
        <v>0.01</v>
      </c>
      <c r="R85" t="s">
        <v>88</v>
      </c>
      <c r="S85" s="6">
        <v>0.11</v>
      </c>
      <c r="T85" s="7">
        <v>0.03</v>
      </c>
      <c r="U85" s="6">
        <v>0.01</v>
      </c>
      <c r="V85" s="6">
        <v>0.01</v>
      </c>
    </row>
    <row r="86" spans="1:22" x14ac:dyDescent="0.25">
      <c r="B86" t="s">
        <v>4</v>
      </c>
      <c r="C86" s="6">
        <v>0.06</v>
      </c>
      <c r="D86" s="6">
        <v>0.14000000000000001</v>
      </c>
      <c r="E86" s="6">
        <v>0.12</v>
      </c>
      <c r="F86" s="6">
        <v>0.09</v>
      </c>
      <c r="J86" t="s">
        <v>4</v>
      </c>
      <c r="K86" s="6">
        <v>0.06</v>
      </c>
      <c r="L86" s="6">
        <v>0.05</v>
      </c>
      <c r="M86" s="6">
        <v>0.05</v>
      </c>
      <c r="N86" s="6">
        <v>0.04</v>
      </c>
      <c r="R86" t="s">
        <v>4</v>
      </c>
      <c r="S86" s="6">
        <v>0.06</v>
      </c>
      <c r="T86" s="7">
        <v>0.14000000000000001</v>
      </c>
      <c r="U86" s="6">
        <v>0.05</v>
      </c>
      <c r="V86" s="6">
        <v>0.04</v>
      </c>
    </row>
    <row r="87" spans="1:22" x14ac:dyDescent="0.25">
      <c r="B87" t="s">
        <v>89</v>
      </c>
      <c r="C87" s="6">
        <v>0.06</v>
      </c>
      <c r="D87" s="6">
        <v>0.14000000000000001</v>
      </c>
      <c r="E87" s="6">
        <v>0.11</v>
      </c>
      <c r="F87" s="6">
        <v>0.1</v>
      </c>
      <c r="J87" t="s">
        <v>89</v>
      </c>
      <c r="K87" s="6">
        <v>0.06</v>
      </c>
      <c r="L87" s="6">
        <v>0.06</v>
      </c>
      <c r="M87" s="6">
        <v>0.05</v>
      </c>
      <c r="N87" s="6">
        <v>0.04</v>
      </c>
      <c r="R87" t="s">
        <v>89</v>
      </c>
      <c r="S87" s="6">
        <v>0.06</v>
      </c>
      <c r="T87" s="7">
        <v>0.14000000000000001</v>
      </c>
      <c r="U87" s="6">
        <v>0.04</v>
      </c>
      <c r="V87" s="6">
        <v>0.03</v>
      </c>
    </row>
    <row r="88" spans="1:22" x14ac:dyDescent="0.25">
      <c r="B88" t="s">
        <v>90</v>
      </c>
      <c r="C88" s="6">
        <v>0.03</v>
      </c>
      <c r="D88" s="6">
        <v>0.25</v>
      </c>
      <c r="E88" s="6">
        <v>0.21</v>
      </c>
      <c r="F88" s="6">
        <v>0.17</v>
      </c>
      <c r="J88" t="s">
        <v>90</v>
      </c>
      <c r="K88" s="6">
        <v>0.03</v>
      </c>
      <c r="L88" s="6">
        <v>0.1</v>
      </c>
      <c r="M88" s="6">
        <v>0.08</v>
      </c>
      <c r="N88" s="6">
        <v>7.0000000000000007E-2</v>
      </c>
      <c r="R88" t="s">
        <v>90</v>
      </c>
      <c r="S88" s="6">
        <v>0.03</v>
      </c>
      <c r="T88" s="7">
        <v>0.24</v>
      </c>
      <c r="U88" s="6">
        <v>0.08</v>
      </c>
      <c r="V88" s="6">
        <v>7.0000000000000007E-2</v>
      </c>
    </row>
    <row r="89" spans="1:22" x14ac:dyDescent="0.25">
      <c r="B89" t="s">
        <v>91</v>
      </c>
      <c r="C89" s="6">
        <v>0</v>
      </c>
      <c r="D89" s="6">
        <v>0.01</v>
      </c>
      <c r="E89" s="6">
        <v>0.17</v>
      </c>
      <c r="F89" s="6">
        <v>0.33</v>
      </c>
      <c r="J89" t="s">
        <v>91</v>
      </c>
      <c r="K89" s="6">
        <v>0</v>
      </c>
      <c r="L89" s="6">
        <v>0</v>
      </c>
      <c r="M89" s="6">
        <v>7.0000000000000007E-2</v>
      </c>
      <c r="N89" s="6">
        <v>0.13</v>
      </c>
      <c r="R89" t="s">
        <v>91</v>
      </c>
      <c r="S89" s="6">
        <v>0</v>
      </c>
      <c r="T89" s="7">
        <v>0</v>
      </c>
      <c r="U89" s="6">
        <v>7.0000000000000007E-2</v>
      </c>
      <c r="V89" s="6">
        <v>0.13</v>
      </c>
    </row>
    <row r="90" spans="1:22" x14ac:dyDescent="0.25">
      <c r="B90" t="s">
        <v>6</v>
      </c>
      <c r="C90" s="6">
        <v>0.32500000000000001</v>
      </c>
      <c r="D90" s="6">
        <v>2.5000000000000001E-2</v>
      </c>
      <c r="E90" s="6">
        <v>2.5000000000000001E-2</v>
      </c>
      <c r="F90" s="6">
        <v>0.02</v>
      </c>
      <c r="J90" t="s">
        <v>6</v>
      </c>
      <c r="K90" s="6">
        <v>0.32500000000000001</v>
      </c>
      <c r="L90" s="6">
        <v>0.61</v>
      </c>
      <c r="M90" s="6">
        <v>0.60499999999999998</v>
      </c>
      <c r="N90" s="6">
        <v>0.60499999999999998</v>
      </c>
      <c r="R90" t="s">
        <v>6</v>
      </c>
      <c r="S90" s="6">
        <v>0.32500000000000001</v>
      </c>
      <c r="T90" s="7">
        <v>0.03</v>
      </c>
      <c r="U90" s="6">
        <v>0.01</v>
      </c>
      <c r="V90" s="6">
        <v>5.0000000000000001E-3</v>
      </c>
    </row>
    <row r="91" spans="1:22" x14ac:dyDescent="0.25">
      <c r="R91" t="s">
        <v>93</v>
      </c>
      <c r="S91" s="6">
        <v>0</v>
      </c>
      <c r="T91" s="7">
        <v>0</v>
      </c>
      <c r="U91" s="6">
        <v>0.31</v>
      </c>
      <c r="V91" s="6">
        <v>0.31</v>
      </c>
    </row>
    <row r="92" spans="1:22" x14ac:dyDescent="0.25">
      <c r="B92" s="1" t="s">
        <v>7</v>
      </c>
      <c r="C92" s="50">
        <f>SUM(C83:C90)</f>
        <v>1</v>
      </c>
      <c r="D92" s="50">
        <f>SUM(D83:D90)</f>
        <v>1</v>
      </c>
      <c r="E92" s="50">
        <f>SUM(E83:E90)</f>
        <v>1</v>
      </c>
      <c r="F92" s="50">
        <f>SUM(F83:F90)</f>
        <v>1</v>
      </c>
      <c r="J92" s="1" t="s">
        <v>7</v>
      </c>
      <c r="K92" s="50">
        <f>SUM(K83:K90)</f>
        <v>1</v>
      </c>
      <c r="L92" s="50">
        <f>SUM(L83:L90)</f>
        <v>1</v>
      </c>
      <c r="M92" s="50">
        <f>SUM(M83:M90)</f>
        <v>1</v>
      </c>
      <c r="N92" s="50">
        <f>SUM(N83:N90)</f>
        <v>1</v>
      </c>
      <c r="R92" t="s">
        <v>94</v>
      </c>
      <c r="S92" s="6">
        <v>0</v>
      </c>
      <c r="T92" s="7">
        <v>0</v>
      </c>
      <c r="U92" s="6">
        <v>0.3</v>
      </c>
      <c r="V92" s="6">
        <v>0.3</v>
      </c>
    </row>
    <row r="94" spans="1:22" x14ac:dyDescent="0.25">
      <c r="R94" s="1" t="s">
        <v>7</v>
      </c>
      <c r="S94" s="50">
        <f>SUM(S83:S92)</f>
        <v>1</v>
      </c>
      <c r="T94" s="50">
        <f>SUM(T83:T92)</f>
        <v>1</v>
      </c>
      <c r="U94" s="50">
        <f>SUM(U83:U92)</f>
        <v>1</v>
      </c>
      <c r="V94" s="50">
        <f>SUM(V83:V92)</f>
        <v>1</v>
      </c>
    </row>
  </sheetData>
  <mergeCells count="6">
    <mergeCell ref="O2:U2"/>
    <mergeCell ref="O17:X17"/>
    <mergeCell ref="O32:S32"/>
    <mergeCell ref="O48:S48"/>
    <mergeCell ref="V32:Z32"/>
    <mergeCell ref="V48:Z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W35"/>
  <sheetViews>
    <sheetView zoomScaleNormal="100" workbookViewId="0">
      <selection activeCell="G38" sqref="G38"/>
    </sheetView>
  </sheetViews>
  <sheetFormatPr defaultRowHeight="15" x14ac:dyDescent="0.25"/>
  <cols>
    <col min="1" max="1" width="27.7109375" bestFit="1" customWidth="1"/>
  </cols>
  <sheetData>
    <row r="2" spans="1:49" x14ac:dyDescent="0.25">
      <c r="A2" s="1" t="s">
        <v>77</v>
      </c>
    </row>
    <row r="3" spans="1:49" x14ac:dyDescent="0.25">
      <c r="C3" s="1" t="s">
        <v>8</v>
      </c>
      <c r="D3">
        <v>2015</v>
      </c>
      <c r="E3">
        <f>D3+1</f>
        <v>2016</v>
      </c>
      <c r="F3">
        <f>E3+1</f>
        <v>2017</v>
      </c>
      <c r="G3">
        <f>F3+1</f>
        <v>2018</v>
      </c>
      <c r="H3">
        <f>G3+1</f>
        <v>2019</v>
      </c>
      <c r="I3">
        <v>2020</v>
      </c>
      <c r="J3">
        <f t="shared" ref="J3:R3" si="0">I3+1</f>
        <v>2021</v>
      </c>
      <c r="K3">
        <f t="shared" si="0"/>
        <v>2022</v>
      </c>
      <c r="L3">
        <f t="shared" si="0"/>
        <v>2023</v>
      </c>
      <c r="M3">
        <f t="shared" si="0"/>
        <v>2024</v>
      </c>
      <c r="N3">
        <f t="shared" si="0"/>
        <v>2025</v>
      </c>
      <c r="O3">
        <f t="shared" si="0"/>
        <v>2026</v>
      </c>
      <c r="P3">
        <f t="shared" si="0"/>
        <v>2027</v>
      </c>
      <c r="Q3">
        <f t="shared" si="0"/>
        <v>2028</v>
      </c>
      <c r="R3">
        <f t="shared" si="0"/>
        <v>2029</v>
      </c>
      <c r="S3">
        <v>2030</v>
      </c>
      <c r="T3">
        <f>S3+1</f>
        <v>2031</v>
      </c>
      <c r="U3">
        <f t="shared" ref="U3:AB3" si="1">T3+1</f>
        <v>2032</v>
      </c>
      <c r="V3">
        <f t="shared" si="1"/>
        <v>2033</v>
      </c>
      <c r="W3">
        <f t="shared" si="1"/>
        <v>2034</v>
      </c>
      <c r="X3">
        <f t="shared" si="1"/>
        <v>2035</v>
      </c>
      <c r="Y3">
        <f t="shared" si="1"/>
        <v>2036</v>
      </c>
      <c r="Z3">
        <f t="shared" si="1"/>
        <v>2037</v>
      </c>
      <c r="AA3">
        <f t="shared" si="1"/>
        <v>2038</v>
      </c>
      <c r="AB3">
        <f t="shared" si="1"/>
        <v>2039</v>
      </c>
      <c r="AC3">
        <v>2040</v>
      </c>
      <c r="AD3">
        <f>AC3+1</f>
        <v>2041</v>
      </c>
      <c r="AE3">
        <f t="shared" ref="AE3:AL3" si="2">AD3+1</f>
        <v>2042</v>
      </c>
      <c r="AF3">
        <f t="shared" si="2"/>
        <v>2043</v>
      </c>
      <c r="AG3">
        <f t="shared" si="2"/>
        <v>2044</v>
      </c>
      <c r="AH3">
        <f t="shared" si="2"/>
        <v>2045</v>
      </c>
      <c r="AI3">
        <f t="shared" si="2"/>
        <v>2046</v>
      </c>
      <c r="AJ3">
        <f t="shared" si="2"/>
        <v>2047</v>
      </c>
      <c r="AK3">
        <f t="shared" si="2"/>
        <v>2048</v>
      </c>
      <c r="AL3">
        <f t="shared" si="2"/>
        <v>2049</v>
      </c>
      <c r="AM3">
        <v>2050</v>
      </c>
      <c r="AN3">
        <f>AM3+1</f>
        <v>2051</v>
      </c>
      <c r="AO3">
        <f t="shared" ref="AO3:AV3" si="3">AN3+1</f>
        <v>2052</v>
      </c>
      <c r="AP3">
        <f t="shared" si="3"/>
        <v>2053</v>
      </c>
      <c r="AQ3">
        <f t="shared" si="3"/>
        <v>2054</v>
      </c>
      <c r="AR3">
        <f t="shared" si="3"/>
        <v>2055</v>
      </c>
      <c r="AS3">
        <f t="shared" si="3"/>
        <v>2056</v>
      </c>
      <c r="AT3">
        <f t="shared" si="3"/>
        <v>2057</v>
      </c>
      <c r="AU3">
        <f t="shared" si="3"/>
        <v>2058</v>
      </c>
      <c r="AV3">
        <f t="shared" si="3"/>
        <v>2059</v>
      </c>
      <c r="AW3">
        <v>2060</v>
      </c>
    </row>
    <row r="4" spans="1:49" x14ac:dyDescent="0.25">
      <c r="C4" t="s">
        <v>14</v>
      </c>
      <c r="D4" s="49">
        <v>24.9</v>
      </c>
      <c r="AM4">
        <v>41</v>
      </c>
      <c r="AN4">
        <f>AM4</f>
        <v>41</v>
      </c>
      <c r="AO4">
        <f t="shared" ref="AO4:AW4" si="4">AN4</f>
        <v>41</v>
      </c>
      <c r="AP4">
        <f t="shared" si="4"/>
        <v>41</v>
      </c>
      <c r="AQ4">
        <f t="shared" si="4"/>
        <v>41</v>
      </c>
      <c r="AR4">
        <f t="shared" si="4"/>
        <v>41</v>
      </c>
      <c r="AS4">
        <f t="shared" si="4"/>
        <v>41</v>
      </c>
      <c r="AT4">
        <f t="shared" si="4"/>
        <v>41</v>
      </c>
      <c r="AU4">
        <f t="shared" si="4"/>
        <v>41</v>
      </c>
      <c r="AV4">
        <f t="shared" si="4"/>
        <v>41</v>
      </c>
      <c r="AW4">
        <f t="shared" si="4"/>
        <v>41</v>
      </c>
    </row>
    <row r="5" spans="1:49" x14ac:dyDescent="0.25">
      <c r="C5" t="s">
        <v>15</v>
      </c>
      <c r="D5" s="49">
        <v>44.674999999999997</v>
      </c>
      <c r="AM5">
        <v>69</v>
      </c>
      <c r="AN5">
        <f t="shared" ref="AN5:AW10" si="5">AM5</f>
        <v>69</v>
      </c>
      <c r="AO5">
        <f t="shared" si="5"/>
        <v>69</v>
      </c>
      <c r="AP5">
        <f t="shared" si="5"/>
        <v>69</v>
      </c>
      <c r="AQ5">
        <f t="shared" si="5"/>
        <v>69</v>
      </c>
      <c r="AR5">
        <f t="shared" si="5"/>
        <v>69</v>
      </c>
      <c r="AS5">
        <f t="shared" si="5"/>
        <v>69</v>
      </c>
      <c r="AT5">
        <f t="shared" si="5"/>
        <v>69</v>
      </c>
      <c r="AU5">
        <f t="shared" si="5"/>
        <v>69</v>
      </c>
      <c r="AV5">
        <f t="shared" si="5"/>
        <v>69</v>
      </c>
      <c r="AW5">
        <f t="shared" si="5"/>
        <v>69</v>
      </c>
    </row>
    <row r="6" spans="1:49" x14ac:dyDescent="0.25">
      <c r="C6" t="s">
        <v>16</v>
      </c>
      <c r="D6" s="49">
        <v>55.563400000000001</v>
      </c>
      <c r="AM6">
        <v>73</v>
      </c>
      <c r="AN6">
        <f t="shared" si="5"/>
        <v>73</v>
      </c>
      <c r="AO6">
        <f t="shared" si="5"/>
        <v>73</v>
      </c>
      <c r="AP6">
        <f t="shared" si="5"/>
        <v>73</v>
      </c>
      <c r="AQ6">
        <f t="shared" si="5"/>
        <v>73</v>
      </c>
      <c r="AR6">
        <f t="shared" si="5"/>
        <v>73</v>
      </c>
      <c r="AS6">
        <f t="shared" si="5"/>
        <v>73</v>
      </c>
      <c r="AT6">
        <f t="shared" si="5"/>
        <v>73</v>
      </c>
      <c r="AU6">
        <f t="shared" si="5"/>
        <v>73</v>
      </c>
      <c r="AV6">
        <f t="shared" si="5"/>
        <v>73</v>
      </c>
      <c r="AW6">
        <f t="shared" si="5"/>
        <v>73</v>
      </c>
    </row>
    <row r="7" spans="1:49" x14ac:dyDescent="0.25">
      <c r="C7" t="s">
        <v>17</v>
      </c>
      <c r="D7" s="49">
        <v>71</v>
      </c>
      <c r="AM7">
        <v>103</v>
      </c>
      <c r="AN7">
        <f t="shared" si="5"/>
        <v>103</v>
      </c>
      <c r="AO7">
        <f t="shared" si="5"/>
        <v>103</v>
      </c>
      <c r="AP7">
        <f t="shared" si="5"/>
        <v>103</v>
      </c>
      <c r="AQ7">
        <f t="shared" si="5"/>
        <v>103</v>
      </c>
      <c r="AR7">
        <f t="shared" si="5"/>
        <v>103</v>
      </c>
      <c r="AS7">
        <f t="shared" si="5"/>
        <v>103</v>
      </c>
      <c r="AT7">
        <f t="shared" si="5"/>
        <v>103</v>
      </c>
      <c r="AU7">
        <f t="shared" si="5"/>
        <v>103</v>
      </c>
      <c r="AV7">
        <f t="shared" si="5"/>
        <v>103</v>
      </c>
      <c r="AW7">
        <f t="shared" si="5"/>
        <v>103</v>
      </c>
    </row>
    <row r="8" spans="1:49" x14ac:dyDescent="0.25">
      <c r="C8" t="s">
        <v>18</v>
      </c>
      <c r="D8" s="49">
        <v>75</v>
      </c>
      <c r="AM8">
        <v>133</v>
      </c>
      <c r="AN8">
        <f t="shared" si="5"/>
        <v>133</v>
      </c>
      <c r="AO8">
        <f t="shared" si="5"/>
        <v>133</v>
      </c>
      <c r="AP8">
        <f t="shared" si="5"/>
        <v>133</v>
      </c>
      <c r="AQ8">
        <f t="shared" si="5"/>
        <v>133</v>
      </c>
      <c r="AR8">
        <f t="shared" si="5"/>
        <v>133</v>
      </c>
      <c r="AS8">
        <f t="shared" si="5"/>
        <v>133</v>
      </c>
      <c r="AT8">
        <f t="shared" si="5"/>
        <v>133</v>
      </c>
      <c r="AU8">
        <f t="shared" si="5"/>
        <v>133</v>
      </c>
      <c r="AV8">
        <f t="shared" si="5"/>
        <v>133</v>
      </c>
      <c r="AW8">
        <f t="shared" si="5"/>
        <v>133</v>
      </c>
    </row>
    <row r="9" spans="1:49" x14ac:dyDescent="0.25">
      <c r="C9" t="s">
        <v>19</v>
      </c>
      <c r="D9" s="49">
        <v>91.92</v>
      </c>
      <c r="AM9">
        <v>115</v>
      </c>
      <c r="AN9">
        <f t="shared" si="5"/>
        <v>115</v>
      </c>
      <c r="AO9">
        <f t="shared" si="5"/>
        <v>115</v>
      </c>
      <c r="AP9">
        <f t="shared" si="5"/>
        <v>115</v>
      </c>
      <c r="AQ9">
        <f t="shared" si="5"/>
        <v>115</v>
      </c>
      <c r="AR9">
        <f t="shared" si="5"/>
        <v>115</v>
      </c>
      <c r="AS9">
        <f t="shared" si="5"/>
        <v>115</v>
      </c>
      <c r="AT9">
        <f t="shared" si="5"/>
        <v>115</v>
      </c>
      <c r="AU9">
        <f t="shared" si="5"/>
        <v>115</v>
      </c>
      <c r="AV9">
        <f t="shared" si="5"/>
        <v>115</v>
      </c>
      <c r="AW9">
        <f t="shared" si="5"/>
        <v>115</v>
      </c>
    </row>
    <row r="10" spans="1:49" x14ac:dyDescent="0.25">
      <c r="C10" t="s">
        <v>76</v>
      </c>
      <c r="D10" s="49">
        <v>78</v>
      </c>
      <c r="AM10">
        <v>116</v>
      </c>
      <c r="AN10">
        <f t="shared" si="5"/>
        <v>116</v>
      </c>
      <c r="AO10">
        <f t="shared" si="5"/>
        <v>116</v>
      </c>
      <c r="AP10">
        <f t="shared" si="5"/>
        <v>116</v>
      </c>
      <c r="AQ10">
        <f t="shared" si="5"/>
        <v>116</v>
      </c>
      <c r="AR10">
        <f t="shared" si="5"/>
        <v>116</v>
      </c>
      <c r="AS10">
        <f t="shared" si="5"/>
        <v>116</v>
      </c>
      <c r="AT10">
        <f t="shared" si="5"/>
        <v>116</v>
      </c>
      <c r="AU10">
        <f t="shared" si="5"/>
        <v>116</v>
      </c>
      <c r="AV10">
        <f t="shared" si="5"/>
        <v>116</v>
      </c>
      <c r="AW10">
        <f t="shared" si="5"/>
        <v>116</v>
      </c>
    </row>
    <row r="13" spans="1:49" x14ac:dyDescent="0.25">
      <c r="A13" s="1" t="s">
        <v>78</v>
      </c>
    </row>
    <row r="14" spans="1:49" x14ac:dyDescent="0.25">
      <c r="C14" s="1" t="s">
        <v>8</v>
      </c>
      <c r="D14" s="1" t="s">
        <v>9</v>
      </c>
    </row>
    <row r="15" spans="1:49" x14ac:dyDescent="0.25">
      <c r="C15" t="s">
        <v>14</v>
      </c>
      <c r="D15">
        <v>5</v>
      </c>
    </row>
    <row r="16" spans="1:49" x14ac:dyDescent="0.25">
      <c r="C16" t="s">
        <v>15</v>
      </c>
      <c r="D16">
        <v>10</v>
      </c>
    </row>
    <row r="17" spans="1:24" x14ac:dyDescent="0.25">
      <c r="C17" t="s">
        <v>16</v>
      </c>
      <c r="D17">
        <v>15</v>
      </c>
    </row>
    <row r="18" spans="1:24" ht="14.45" customHeight="1" x14ac:dyDescent="0.25">
      <c r="C18" t="s">
        <v>17</v>
      </c>
      <c r="D18">
        <v>15</v>
      </c>
      <c r="S18" s="59"/>
      <c r="T18" s="59"/>
      <c r="U18" s="59"/>
      <c r="V18" s="59"/>
      <c r="W18" s="59"/>
      <c r="X18" s="59"/>
    </row>
    <row r="19" spans="1:24" x14ac:dyDescent="0.25">
      <c r="C19" t="s">
        <v>18</v>
      </c>
      <c r="D19">
        <v>15</v>
      </c>
      <c r="S19" s="59"/>
      <c r="T19" s="59"/>
      <c r="U19" s="59"/>
      <c r="V19" s="59"/>
      <c r="W19" s="59"/>
      <c r="X19" s="59"/>
    </row>
    <row r="20" spans="1:24" x14ac:dyDescent="0.25">
      <c r="C20" t="s">
        <v>19</v>
      </c>
      <c r="D20">
        <v>15</v>
      </c>
      <c r="S20" s="59"/>
      <c r="T20" s="59"/>
      <c r="U20" s="59"/>
      <c r="V20" s="59"/>
      <c r="W20" s="59"/>
      <c r="X20" s="59"/>
    </row>
    <row r="21" spans="1:24" x14ac:dyDescent="0.25">
      <c r="C21" t="s">
        <v>76</v>
      </c>
      <c r="D21">
        <v>15</v>
      </c>
      <c r="S21" s="59"/>
      <c r="T21" s="59"/>
      <c r="U21" s="59"/>
      <c r="V21" s="59"/>
      <c r="W21" s="59"/>
      <c r="X21" s="59"/>
    </row>
    <row r="22" spans="1:24" x14ac:dyDescent="0.25">
      <c r="S22" s="59"/>
      <c r="T22" s="59"/>
      <c r="U22" s="59"/>
      <c r="V22" s="59"/>
      <c r="W22" s="59"/>
      <c r="X22" s="59"/>
    </row>
    <row r="23" spans="1:24" x14ac:dyDescent="0.25">
      <c r="S23" s="59"/>
      <c r="T23" s="59"/>
      <c r="U23" s="59"/>
      <c r="V23" s="59"/>
      <c r="W23" s="59"/>
      <c r="X23" s="59"/>
    </row>
    <row r="24" spans="1:24" x14ac:dyDescent="0.25">
      <c r="A24" s="10"/>
      <c r="B24" s="61" t="s">
        <v>223</v>
      </c>
      <c r="C24" s="62"/>
      <c r="D24" s="62"/>
      <c r="E24" s="62"/>
      <c r="F24" s="63"/>
      <c r="S24" s="59"/>
      <c r="T24" s="59"/>
      <c r="U24" s="59"/>
      <c r="V24" s="59"/>
      <c r="W24" s="59"/>
      <c r="X24" s="59"/>
    </row>
    <row r="25" spans="1:24" x14ac:dyDescent="0.25">
      <c r="A25" s="10"/>
      <c r="B25" s="64"/>
      <c r="C25" s="65"/>
      <c r="D25" s="65"/>
      <c r="E25" s="65"/>
      <c r="F25" s="66"/>
      <c r="S25" s="59"/>
      <c r="T25" s="59"/>
      <c r="U25" s="59"/>
      <c r="V25" s="59"/>
      <c r="W25" s="59"/>
      <c r="X25" s="59"/>
    </row>
    <row r="26" spans="1:24" x14ac:dyDescent="0.25">
      <c r="A26" s="10"/>
      <c r="B26" s="64"/>
      <c r="C26" s="65"/>
      <c r="D26" s="65"/>
      <c r="E26" s="65"/>
      <c r="F26" s="66"/>
      <c r="Q26" s="59"/>
      <c r="R26" s="59"/>
      <c r="S26" s="59"/>
      <c r="T26" s="59"/>
      <c r="U26" s="59"/>
      <c r="V26" s="59"/>
      <c r="W26" s="59"/>
      <c r="X26" s="59"/>
    </row>
    <row r="27" spans="1:24" x14ac:dyDescent="0.25">
      <c r="A27" s="10"/>
      <c r="B27" s="64"/>
      <c r="C27" s="65"/>
      <c r="D27" s="65"/>
      <c r="E27" s="65"/>
      <c r="F27" s="66"/>
      <c r="M27" s="10"/>
      <c r="N27" s="59"/>
      <c r="O27" s="59"/>
      <c r="P27" s="59"/>
      <c r="Q27" s="59"/>
      <c r="R27" s="59"/>
      <c r="S27" s="59"/>
      <c r="T27" s="59"/>
      <c r="U27" s="59"/>
      <c r="V27" s="59"/>
      <c r="W27" s="59"/>
      <c r="X27" s="59"/>
    </row>
    <row r="28" spans="1:24" x14ac:dyDescent="0.25">
      <c r="A28" s="10"/>
      <c r="B28" s="64"/>
      <c r="C28" s="65"/>
      <c r="D28" s="65"/>
      <c r="E28" s="65"/>
      <c r="F28" s="66"/>
      <c r="M28" s="10"/>
      <c r="N28" s="59"/>
      <c r="O28" s="59"/>
      <c r="P28" s="59"/>
      <c r="Q28" s="59"/>
      <c r="R28" s="59"/>
      <c r="S28" s="59"/>
      <c r="T28" s="59"/>
      <c r="U28" s="59"/>
      <c r="V28" s="59"/>
      <c r="W28" s="59"/>
      <c r="X28" s="59"/>
    </row>
    <row r="29" spans="1:24" x14ac:dyDescent="0.25">
      <c r="A29" s="10"/>
      <c r="B29" s="67"/>
      <c r="C29" s="68"/>
      <c r="D29" s="68"/>
      <c r="E29" s="68"/>
      <c r="F29" s="69"/>
      <c r="M29" s="10"/>
      <c r="N29" s="59"/>
      <c r="O29" s="59"/>
      <c r="P29" s="59"/>
      <c r="Q29" s="59"/>
      <c r="R29" s="59"/>
      <c r="S29" s="59"/>
      <c r="T29" s="59"/>
      <c r="U29" s="59"/>
      <c r="V29" s="59"/>
      <c r="W29" s="59"/>
      <c r="X29" s="59"/>
    </row>
    <row r="30" spans="1:24" x14ac:dyDescent="0.25">
      <c r="A30" s="10" t="s">
        <v>226</v>
      </c>
      <c r="B30" s="60" t="s">
        <v>227</v>
      </c>
      <c r="C30" s="59"/>
      <c r="D30" s="59"/>
      <c r="E30" s="59"/>
      <c r="F30" s="59"/>
      <c r="M30" s="10"/>
      <c r="N30" s="59"/>
      <c r="O30" s="59"/>
      <c r="P30" s="59"/>
      <c r="Q30" s="59"/>
      <c r="R30" s="59"/>
      <c r="S30" s="59"/>
      <c r="T30" s="59"/>
      <c r="U30" s="59"/>
      <c r="V30" s="59"/>
      <c r="W30" s="59"/>
      <c r="X30" s="59"/>
    </row>
    <row r="31" spans="1:24" x14ac:dyDescent="0.25">
      <c r="A31" s="10" t="s">
        <v>225</v>
      </c>
      <c r="B31" s="54" t="s">
        <v>224</v>
      </c>
      <c r="C31" s="59"/>
      <c r="D31" s="59"/>
      <c r="E31" s="59"/>
      <c r="F31" s="59"/>
      <c r="M31" s="10"/>
      <c r="N31" s="10"/>
      <c r="O31" s="10"/>
      <c r="P31" s="10"/>
      <c r="Q31" s="10"/>
      <c r="R31" s="10"/>
      <c r="S31" s="10"/>
      <c r="T31" s="10"/>
      <c r="U31" s="10"/>
      <c r="V31" s="10"/>
      <c r="W31" s="10"/>
      <c r="X31" s="10"/>
    </row>
    <row r="32" spans="1:24" x14ac:dyDescent="0.25">
      <c r="M32" s="10"/>
      <c r="N32" s="10"/>
      <c r="O32" s="10"/>
      <c r="P32" s="10"/>
      <c r="Q32" s="10"/>
      <c r="R32" s="10"/>
      <c r="S32" s="10"/>
    </row>
    <row r="33" spans="13:19" x14ac:dyDescent="0.25">
      <c r="M33" s="10"/>
      <c r="N33" s="10"/>
      <c r="O33" s="10"/>
      <c r="P33" s="10"/>
      <c r="Q33" s="10"/>
      <c r="R33" s="10"/>
      <c r="S33" s="10"/>
    </row>
    <row r="34" spans="13:19" x14ac:dyDescent="0.25">
      <c r="M34" s="10"/>
      <c r="N34" s="10"/>
      <c r="O34" s="10"/>
      <c r="P34" s="10"/>
      <c r="Q34" s="10"/>
      <c r="R34" s="10"/>
      <c r="S34" s="10"/>
    </row>
    <row r="35" spans="13:19" x14ac:dyDescent="0.25">
      <c r="M35" s="10"/>
      <c r="N35" s="10"/>
      <c r="O35" s="10"/>
      <c r="P35" s="10"/>
      <c r="Q35" s="10"/>
      <c r="R35" s="10"/>
      <c r="S35" s="10"/>
    </row>
  </sheetData>
  <mergeCells count="1">
    <mergeCell ref="B24:F29"/>
  </mergeCells>
  <hyperlinks>
    <hyperlink ref="B31" r:id="rId1" xr:uid="{00000000-0004-0000-0100-000000000000}"/>
    <hyperlink ref="B30"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15"/>
  <sheetViews>
    <sheetView zoomScaleNormal="100" workbookViewId="0">
      <selection activeCell="C10" sqref="C10"/>
    </sheetView>
  </sheetViews>
  <sheetFormatPr defaultRowHeight="15" x14ac:dyDescent="0.25"/>
  <sheetData>
    <row r="1" spans="2:14" x14ac:dyDescent="0.25">
      <c r="C1" s="70" t="s">
        <v>25</v>
      </c>
      <c r="D1" s="70"/>
      <c r="E1" s="70"/>
      <c r="F1" s="70"/>
      <c r="G1" s="70"/>
      <c r="H1" s="70"/>
      <c r="I1" s="11"/>
      <c r="J1" s="71" t="s">
        <v>26</v>
      </c>
      <c r="K1" s="70"/>
      <c r="L1" s="70"/>
      <c r="M1" s="70"/>
    </row>
    <row r="2" spans="2:14" x14ac:dyDescent="0.25">
      <c r="B2" s="1" t="s">
        <v>0</v>
      </c>
      <c r="C2" t="s">
        <v>27</v>
      </c>
      <c r="D2" t="s">
        <v>28</v>
      </c>
      <c r="E2" t="s">
        <v>29</v>
      </c>
      <c r="F2" t="s">
        <v>30</v>
      </c>
      <c r="G2" t="s">
        <v>31</v>
      </c>
      <c r="H2" t="s">
        <v>32</v>
      </c>
      <c r="I2" t="s">
        <v>33</v>
      </c>
      <c r="J2" s="9" t="s">
        <v>73</v>
      </c>
      <c r="K2" s="10" t="s">
        <v>34</v>
      </c>
      <c r="L2" s="10" t="s">
        <v>74</v>
      </c>
      <c r="M2" s="42" t="s">
        <v>63</v>
      </c>
      <c r="N2" s="42"/>
    </row>
    <row r="3" spans="2:14" x14ac:dyDescent="0.25">
      <c r="B3" s="5" t="s">
        <v>2</v>
      </c>
      <c r="C3" s="39">
        <f>0.105+Calculations_cells!F34</f>
        <v>0.11002598235488097</v>
      </c>
      <c r="D3" s="39">
        <v>0.13500000000000001</v>
      </c>
      <c r="E3" s="39">
        <v>0.7</v>
      </c>
      <c r="F3" s="39">
        <v>0</v>
      </c>
      <c r="G3" s="39">
        <f>Calculations_cells!F27</f>
        <v>0.74341713154694844</v>
      </c>
      <c r="H3" s="39">
        <f>Calculations_cells!F28+Calculations_cells!I23</f>
        <v>0.39790244825240895</v>
      </c>
      <c r="I3" s="39">
        <f>Calculations_cells!F24</f>
        <v>0.98531357060081548</v>
      </c>
      <c r="J3" s="56">
        <v>0.30403007518796993</v>
      </c>
      <c r="K3" s="57">
        <v>0.40538345864661651</v>
      </c>
      <c r="L3" s="57">
        <v>8.194736842105263E-2</v>
      </c>
      <c r="M3" s="57">
        <v>0.37545563909774438</v>
      </c>
    </row>
    <row r="4" spans="2:14" x14ac:dyDescent="0.25">
      <c r="B4" s="5" t="s">
        <v>88</v>
      </c>
      <c r="C4" s="39">
        <f>0.14+Calculations_cells!B34</f>
        <v>0.1456536961986426</v>
      </c>
      <c r="D4" s="39">
        <v>0.23</v>
      </c>
      <c r="E4" s="39">
        <v>0.48</v>
      </c>
      <c r="F4" s="39">
        <v>0.36</v>
      </c>
      <c r="G4" s="39">
        <f>Calculations_cells!B27</f>
        <v>0.80053395340397371</v>
      </c>
      <c r="H4" s="39">
        <f>Calculations_cells!B28</f>
        <v>0.41629890802523628</v>
      </c>
      <c r="I4" s="39">
        <f>Calculations_cells!B24</f>
        <v>0.98501536609544393</v>
      </c>
      <c r="J4" s="56">
        <v>0.30403007518796993</v>
      </c>
      <c r="K4" s="57">
        <v>0.40538345864661651</v>
      </c>
      <c r="L4" s="57">
        <v>8.194736842105263E-2</v>
      </c>
      <c r="M4" s="57">
        <v>0.37545563909774438</v>
      </c>
    </row>
    <row r="5" spans="2:14" x14ac:dyDescent="0.25">
      <c r="B5" s="5" t="s">
        <v>4</v>
      </c>
      <c r="C5" s="39">
        <f>0.126+Calculations_cells!C34</f>
        <v>0.1311650011784054</v>
      </c>
      <c r="D5" s="39">
        <v>0.19500000000000001</v>
      </c>
      <c r="E5" s="39">
        <v>0.62</v>
      </c>
      <c r="F5" s="39">
        <v>0.19500000000000001</v>
      </c>
      <c r="G5" s="39">
        <f>Calculations_cells!C27</f>
        <v>0.73835302820149351</v>
      </c>
      <c r="H5" s="39">
        <f>Calculations_cells!C28</f>
        <v>0.38381317074485111</v>
      </c>
      <c r="I5" s="39">
        <f>Calculations_cells!C24</f>
        <v>0.96615593271143463</v>
      </c>
      <c r="J5" s="56">
        <v>0.30403007518796993</v>
      </c>
      <c r="K5" s="57">
        <v>0.40538345864661651</v>
      </c>
      <c r="L5" s="57">
        <v>8.194736842105263E-2</v>
      </c>
      <c r="M5" s="57">
        <v>0.37545563909774438</v>
      </c>
    </row>
    <row r="6" spans="2:14" x14ac:dyDescent="0.25">
      <c r="B6" s="5" t="s">
        <v>75</v>
      </c>
      <c r="C6" s="39">
        <f>0.11+Calculations_cells!D34</f>
        <v>0.11614330990593753</v>
      </c>
      <c r="D6" s="39">
        <v>0.09</v>
      </c>
      <c r="E6" s="39">
        <v>0.75</v>
      </c>
      <c r="F6" s="39">
        <v>0.09</v>
      </c>
      <c r="G6" s="39">
        <f>Calculations_cells!D27</f>
        <v>0.75008413302288457</v>
      </c>
      <c r="H6" s="39">
        <f>Calculations_cells!D28</f>
        <v>0.39313135910603653</v>
      </c>
      <c r="I6" s="39">
        <f>Calculations_cells!D24</f>
        <v>0.9840869715589361</v>
      </c>
      <c r="J6" s="56">
        <v>0.30403007518796993</v>
      </c>
      <c r="K6" s="57">
        <v>0.40538345864661651</v>
      </c>
      <c r="L6" s="57">
        <v>8.194736842105263E-2</v>
      </c>
      <c r="M6" s="57">
        <v>0.37545563909774438</v>
      </c>
    </row>
    <row r="7" spans="2:14" x14ac:dyDescent="0.25">
      <c r="B7" s="5" t="s">
        <v>6</v>
      </c>
      <c r="C7" s="39">
        <f>0.1+Calculations_cells!G34</f>
        <v>0.11057207087732013</v>
      </c>
      <c r="D7" s="39">
        <v>0</v>
      </c>
      <c r="E7" s="39">
        <v>0</v>
      </c>
      <c r="F7" s="39">
        <v>0</v>
      </c>
      <c r="G7" s="39">
        <f>Calculations_cells!G27</f>
        <v>0.87168544846185236</v>
      </c>
      <c r="H7" s="39">
        <f>Calculations_cells!G28</f>
        <v>0.47309975851553665</v>
      </c>
      <c r="I7" s="39">
        <f>Calculations_cells!G24</f>
        <v>1.0560349264523448</v>
      </c>
      <c r="J7" s="56">
        <v>0.30403007518796993</v>
      </c>
      <c r="K7" s="57">
        <v>0.40538345864661651</v>
      </c>
      <c r="L7" s="57">
        <v>8.194736842105263E-2</v>
      </c>
      <c r="M7" s="57">
        <v>0.37545563909774438</v>
      </c>
    </row>
    <row r="8" spans="2:14" x14ac:dyDescent="0.25">
      <c r="B8" t="s">
        <v>101</v>
      </c>
      <c r="C8" s="39">
        <v>0.13900000000000001</v>
      </c>
      <c r="D8" s="39">
        <v>0.39400000000000002</v>
      </c>
      <c r="E8" s="39">
        <v>0.39200000000000002</v>
      </c>
      <c r="F8" s="39">
        <v>0.36699999999999999</v>
      </c>
      <c r="G8" s="39">
        <v>0.80100000000000005</v>
      </c>
      <c r="H8" s="39">
        <v>0.41599999999999998</v>
      </c>
      <c r="I8" s="39">
        <v>0.98499999999999999</v>
      </c>
      <c r="J8" s="56">
        <v>0.30403007518796993</v>
      </c>
      <c r="K8" s="57">
        <v>0.40538345864661651</v>
      </c>
      <c r="L8" s="57">
        <v>8.194736842105263E-2</v>
      </c>
      <c r="M8" s="57">
        <v>0.37545563909774438</v>
      </c>
    </row>
    <row r="9" spans="2:14" x14ac:dyDescent="0.25">
      <c r="B9" s="5" t="s">
        <v>105</v>
      </c>
      <c r="C9" s="39">
        <v>0.11976920603212134</v>
      </c>
      <c r="D9" s="39">
        <v>4.7951690760355437E-2</v>
      </c>
      <c r="E9" s="39">
        <v>0.86313043368639775</v>
      </c>
      <c r="F9" s="39">
        <v>4.7951690760355437E-2</v>
      </c>
      <c r="G9" s="39">
        <f>G6</f>
        <v>0.75008413302288457</v>
      </c>
      <c r="H9" s="39">
        <f>H6</f>
        <v>0.39313135910603653</v>
      </c>
      <c r="I9" s="39">
        <f>I6</f>
        <v>0.9840869715589361</v>
      </c>
      <c r="J9" s="56">
        <v>0.30403007518796993</v>
      </c>
      <c r="K9" s="57">
        <v>0.40538345864661651</v>
      </c>
      <c r="L9" s="57">
        <v>8.194736842105263E-2</v>
      </c>
      <c r="M9" s="57">
        <v>0.37545563909774438</v>
      </c>
    </row>
    <row r="10" spans="2:14" x14ac:dyDescent="0.25">
      <c r="B10" s="5" t="s">
        <v>93</v>
      </c>
      <c r="C10" s="58">
        <v>1</v>
      </c>
      <c r="D10" s="39">
        <v>0</v>
      </c>
      <c r="E10" s="39">
        <v>0</v>
      </c>
      <c r="F10" s="39">
        <v>0</v>
      </c>
      <c r="G10" s="39">
        <f>G9</f>
        <v>0.75008413302288457</v>
      </c>
      <c r="H10" s="39">
        <f>H9</f>
        <v>0.39313135910603653</v>
      </c>
      <c r="I10" s="39">
        <f>I9</f>
        <v>0.9840869715589361</v>
      </c>
      <c r="J10" s="39">
        <v>0.30403007518796993</v>
      </c>
      <c r="K10" s="39">
        <v>0.40538345864661651</v>
      </c>
      <c r="L10" s="39">
        <v>8.194736842105263E-2</v>
      </c>
      <c r="M10" s="39">
        <v>0.37545563909774438</v>
      </c>
    </row>
    <row r="13" spans="2:14" x14ac:dyDescent="0.25">
      <c r="B13" s="5"/>
    </row>
    <row r="15" spans="2:14" x14ac:dyDescent="0.25">
      <c r="B15" s="5"/>
    </row>
  </sheetData>
  <mergeCells count="2">
    <mergeCell ref="C1:H1"/>
    <mergeCell ref="J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8"/>
  <sheetViews>
    <sheetView zoomScale="85" zoomScaleNormal="85" workbookViewId="0"/>
  </sheetViews>
  <sheetFormatPr defaultRowHeight="15" x14ac:dyDescent="0.25"/>
  <cols>
    <col min="1" max="1" width="33.140625" bestFit="1" customWidth="1"/>
    <col min="2" max="4" width="10.140625" bestFit="1" customWidth="1"/>
    <col min="9" max="9" width="23.140625" bestFit="1" customWidth="1"/>
    <col min="10" max="12" width="10.140625" bestFit="1" customWidth="1"/>
  </cols>
  <sheetData>
    <row r="1" spans="1:26" x14ac:dyDescent="0.25">
      <c r="A1" s="21" t="s">
        <v>37</v>
      </c>
      <c r="B1" s="72" t="s">
        <v>38</v>
      </c>
      <c r="C1" s="73"/>
      <c r="D1" s="73"/>
      <c r="E1" s="73"/>
      <c r="F1" s="73"/>
      <c r="G1" s="74"/>
    </row>
    <row r="2" spans="1:26" x14ac:dyDescent="0.25">
      <c r="A2" s="22"/>
      <c r="B2" s="23" t="s">
        <v>39</v>
      </c>
      <c r="C2" s="24" t="s">
        <v>40</v>
      </c>
      <c r="D2" s="24" t="s">
        <v>41</v>
      </c>
      <c r="E2" s="24" t="s">
        <v>1</v>
      </c>
      <c r="F2" s="24" t="s">
        <v>2</v>
      </c>
      <c r="G2" s="25" t="s">
        <v>6</v>
      </c>
      <c r="J2" s="23" t="s">
        <v>39</v>
      </c>
      <c r="K2" s="24" t="s">
        <v>40</v>
      </c>
      <c r="L2" s="24" t="s">
        <v>41</v>
      </c>
      <c r="M2" s="24" t="s">
        <v>1</v>
      </c>
      <c r="N2" s="24" t="s">
        <v>2</v>
      </c>
      <c r="O2" s="25" t="s">
        <v>6</v>
      </c>
    </row>
    <row r="3" spans="1:26" x14ac:dyDescent="0.25">
      <c r="A3" s="29" t="s">
        <v>42</v>
      </c>
      <c r="B3" s="30">
        <v>0.16806714285714286</v>
      </c>
      <c r="C3" s="30">
        <v>0.16806714285714286</v>
      </c>
      <c r="D3" s="30">
        <v>0.16806714285714286</v>
      </c>
      <c r="E3" s="30">
        <v>0.16806714285714286</v>
      </c>
      <c r="F3" s="30">
        <v>0.16806714285714286</v>
      </c>
      <c r="G3" s="31">
        <v>0.16806714285714286</v>
      </c>
      <c r="I3" s="28" t="s">
        <v>56</v>
      </c>
      <c r="J3" s="34">
        <f t="shared" ref="J3:O3" si="0">B3/B4</f>
        <v>0.19645018597800565</v>
      </c>
      <c r="K3" s="35">
        <f t="shared" si="0"/>
        <v>0.21780673053276234</v>
      </c>
      <c r="L3" s="35">
        <f t="shared" si="0"/>
        <v>0.20939334049906333</v>
      </c>
      <c r="M3" s="35">
        <f t="shared" si="0"/>
        <v>0.19404826506695783</v>
      </c>
      <c r="N3" s="35">
        <f t="shared" si="0"/>
        <v>0.22417873519204282</v>
      </c>
      <c r="O3" s="36">
        <f t="shared" si="0"/>
        <v>0.15943298518830254</v>
      </c>
    </row>
    <row r="4" spans="1:26" x14ac:dyDescent="0.25">
      <c r="A4" s="27" t="s">
        <v>43</v>
      </c>
      <c r="B4" s="14">
        <v>0.85552040595145817</v>
      </c>
      <c r="C4" s="15">
        <v>0.77163429452361354</v>
      </c>
      <c r="D4" s="15">
        <v>0.80263843375618082</v>
      </c>
      <c r="E4" s="15">
        <v>0.86611000000000005</v>
      </c>
      <c r="F4" s="15">
        <v>0.74970153932382599</v>
      </c>
      <c r="G4" s="32">
        <v>1.0541554036552896</v>
      </c>
    </row>
    <row r="5" spans="1:26" x14ac:dyDescent="0.25">
      <c r="A5" s="13"/>
      <c r="B5" s="13"/>
      <c r="C5" s="13"/>
      <c r="D5" s="13"/>
      <c r="E5" s="13"/>
      <c r="F5" s="13"/>
      <c r="G5" s="13"/>
      <c r="S5" t="s">
        <v>65</v>
      </c>
      <c r="T5" t="s">
        <v>66</v>
      </c>
    </row>
    <row r="6" spans="1:26" x14ac:dyDescent="0.25">
      <c r="A6" s="33" t="s">
        <v>44</v>
      </c>
      <c r="B6" s="72" t="s">
        <v>38</v>
      </c>
      <c r="C6" s="73"/>
      <c r="D6" s="73"/>
      <c r="E6" s="73"/>
      <c r="F6" s="73"/>
      <c r="G6" s="74"/>
      <c r="I6" s="28" t="s">
        <v>57</v>
      </c>
      <c r="J6" s="37">
        <f t="shared" ref="J6:O6" si="1">1/J3</f>
        <v>5.0903489605856569</v>
      </c>
      <c r="K6" s="37">
        <f t="shared" si="1"/>
        <v>4.5912263480286741</v>
      </c>
      <c r="L6" s="37">
        <f t="shared" si="1"/>
        <v>4.77570106869981</v>
      </c>
      <c r="M6" s="37">
        <f t="shared" si="1"/>
        <v>5.1533570766785388</v>
      </c>
      <c r="N6" s="37">
        <f t="shared" si="1"/>
        <v>4.4607263893399596</v>
      </c>
      <c r="O6" s="38">
        <f t="shared" si="1"/>
        <v>6.2722277878628665</v>
      </c>
    </row>
    <row r="7" spans="1:26" x14ac:dyDescent="0.25">
      <c r="A7" s="22"/>
      <c r="B7" s="23" t="s">
        <v>39</v>
      </c>
      <c r="C7" s="24" t="s">
        <v>40</v>
      </c>
      <c r="D7" s="24" t="s">
        <v>41</v>
      </c>
      <c r="E7" s="24" t="s">
        <v>1</v>
      </c>
      <c r="F7" s="24" t="s">
        <v>2</v>
      </c>
      <c r="G7" s="25" t="s">
        <v>6</v>
      </c>
      <c r="S7" t="s">
        <v>5</v>
      </c>
      <c r="T7" t="s">
        <v>27</v>
      </c>
      <c r="U7">
        <v>6.9409999999999998</v>
      </c>
      <c r="V7">
        <v>1</v>
      </c>
      <c r="X7">
        <f>V7*U7</f>
        <v>6.9409999999999998</v>
      </c>
      <c r="Z7" s="6">
        <f>X7/$X$11</f>
        <v>3.839027439007528E-2</v>
      </c>
    </row>
    <row r="8" spans="1:26" x14ac:dyDescent="0.25">
      <c r="A8" s="26" t="s">
        <v>45</v>
      </c>
      <c r="B8" s="16">
        <v>0.34664639318494872</v>
      </c>
      <c r="C8" s="17">
        <v>0.32404012123589976</v>
      </c>
      <c r="D8" s="17">
        <v>0.31084398247137551</v>
      </c>
      <c r="E8" s="17">
        <v>0.35343451730602166</v>
      </c>
      <c r="F8" s="17">
        <v>0.3059126817358116</v>
      </c>
      <c r="G8" s="18">
        <v>0.3266806114536816</v>
      </c>
      <c r="I8" t="s">
        <v>58</v>
      </c>
      <c r="J8">
        <f>'Material composition'!C4</f>
        <v>0.1456536961986426</v>
      </c>
      <c r="K8">
        <f>'Material composition'!C5</f>
        <v>0.1311650011784054</v>
      </c>
      <c r="L8">
        <f>'Material composition'!C6</f>
        <v>0.11614330990593753</v>
      </c>
      <c r="M8" t="e">
        <f>'Material composition'!#REF!</f>
        <v>#REF!</v>
      </c>
      <c r="N8">
        <f>'Material composition'!C3</f>
        <v>0.11002598235488097</v>
      </c>
      <c r="O8">
        <f>'Material composition'!C7</f>
        <v>0.11057207087732013</v>
      </c>
      <c r="T8" t="s">
        <v>30</v>
      </c>
      <c r="U8">
        <v>54.93</v>
      </c>
      <c r="V8">
        <v>2</v>
      </c>
      <c r="X8">
        <f>V8*U8</f>
        <v>109.86</v>
      </c>
      <c r="Z8" s="6">
        <f>X8/$X$11</f>
        <v>0.60762938258084864</v>
      </c>
    </row>
    <row r="9" spans="1:26" x14ac:dyDescent="0.25">
      <c r="A9" s="26" t="s">
        <v>33</v>
      </c>
      <c r="B9" s="16">
        <v>0.19350645186064327</v>
      </c>
      <c r="C9" s="17">
        <v>0.21043526488870912</v>
      </c>
      <c r="D9" s="17">
        <v>0.20606125831633237</v>
      </c>
      <c r="E9" s="17">
        <v>0.18460874939258334</v>
      </c>
      <c r="F9" s="17">
        <v>0.22088635002484638</v>
      </c>
      <c r="G9" s="18">
        <v>0.16836680078740685</v>
      </c>
      <c r="I9" t="s">
        <v>59</v>
      </c>
      <c r="J9">
        <f>'Material composition'!D4</f>
        <v>0.23</v>
      </c>
      <c r="K9">
        <f>'Material composition'!D5</f>
        <v>0.19500000000000001</v>
      </c>
      <c r="L9">
        <f>'Material composition'!D6</f>
        <v>0.09</v>
      </c>
      <c r="M9" t="e">
        <f>'Material composition'!#REF!</f>
        <v>#REF!</v>
      </c>
      <c r="N9">
        <f>'Material composition'!D3</f>
        <v>0.13500000000000001</v>
      </c>
      <c r="O9">
        <v>0</v>
      </c>
      <c r="T9" t="s">
        <v>35</v>
      </c>
      <c r="U9">
        <v>16</v>
      </c>
      <c r="V9">
        <v>4</v>
      </c>
      <c r="X9">
        <f>V9*U9</f>
        <v>64</v>
      </c>
      <c r="Z9" s="6">
        <f>X9/$X$11</f>
        <v>0.35398034302907622</v>
      </c>
    </row>
    <row r="10" spans="1:26" x14ac:dyDescent="0.25">
      <c r="A10" s="26" t="s">
        <v>46</v>
      </c>
      <c r="B10" s="16">
        <v>2.3369419765277444E-2</v>
      </c>
      <c r="C10" s="17">
        <v>2.1845401431633691E-2</v>
      </c>
      <c r="D10" s="17">
        <v>1.7269110137298638E-2</v>
      </c>
      <c r="E10" s="17">
        <v>2.3827046110518314E-2</v>
      </c>
      <c r="F10" s="17">
        <v>2.062332685859404E-2</v>
      </c>
      <c r="G10" s="18">
        <v>2.2023412008113367E-2</v>
      </c>
      <c r="I10" t="s">
        <v>60</v>
      </c>
      <c r="J10">
        <f>'Material composition'!E4</f>
        <v>0.48</v>
      </c>
      <c r="K10">
        <f>'Material composition'!E5</f>
        <v>0.62</v>
      </c>
      <c r="L10">
        <f>'Material composition'!E6</f>
        <v>0.75</v>
      </c>
      <c r="M10" t="e">
        <f>'Material composition'!#REF!</f>
        <v>#REF!</v>
      </c>
      <c r="N10">
        <f>'Material composition'!E3</f>
        <v>0.7</v>
      </c>
      <c r="O10">
        <v>0</v>
      </c>
    </row>
    <row r="11" spans="1:26" x14ac:dyDescent="0.25">
      <c r="A11" s="26" t="s">
        <v>47</v>
      </c>
      <c r="B11" s="16">
        <v>2.9659066568993128E-2</v>
      </c>
      <c r="C11" s="17">
        <v>2.9280041450328559E-2</v>
      </c>
      <c r="D11" s="17">
        <v>3.5675453472744444E-2</v>
      </c>
      <c r="E11" s="17">
        <v>2.9572121726795964E-2</v>
      </c>
      <c r="F11" s="17">
        <v>2.8811703085223794E-2</v>
      </c>
      <c r="G11" s="18">
        <v>2.7214253907852731E-2</v>
      </c>
      <c r="I11" t="s">
        <v>61</v>
      </c>
      <c r="J11">
        <f>'Material composition'!F4</f>
        <v>0.36</v>
      </c>
      <c r="K11">
        <f>'Material composition'!F5</f>
        <v>0.19500000000000001</v>
      </c>
      <c r="L11">
        <f>'Material composition'!F6</f>
        <v>0.09</v>
      </c>
      <c r="M11" t="e">
        <f>'Material composition'!#REF!</f>
        <v>#REF!</v>
      </c>
      <c r="N11">
        <f>'Material composition'!F3</f>
        <v>0</v>
      </c>
      <c r="O11">
        <v>0</v>
      </c>
      <c r="X11">
        <f>SUM(X7:X9)</f>
        <v>180.80099999999999</v>
      </c>
    </row>
    <row r="12" spans="1:26" x14ac:dyDescent="0.25">
      <c r="A12" s="26" t="s">
        <v>48</v>
      </c>
      <c r="B12" s="16">
        <v>0.15726504402791874</v>
      </c>
      <c r="C12" s="17">
        <v>0.16081825905153177</v>
      </c>
      <c r="D12" s="17">
        <v>0.15706262226900558</v>
      </c>
      <c r="E12" s="17">
        <v>0.16108965974466674</v>
      </c>
      <c r="F12" s="17">
        <v>0.1666583122702914</v>
      </c>
      <c r="G12" s="18">
        <v>0.13897541319347737</v>
      </c>
      <c r="I12" s="26" t="s">
        <v>45</v>
      </c>
      <c r="J12" s="40">
        <f t="shared" ref="J12:O12" si="2">SUM(J8:J11)</f>
        <v>1.2156536961986426</v>
      </c>
      <c r="K12" s="40">
        <f t="shared" si="2"/>
        <v>1.1411650011784054</v>
      </c>
      <c r="L12" s="40">
        <f t="shared" si="2"/>
        <v>1.0461433099059376</v>
      </c>
      <c r="M12" s="40" t="e">
        <f t="shared" si="2"/>
        <v>#REF!</v>
      </c>
      <c r="N12" s="40">
        <f t="shared" si="2"/>
        <v>0.945025982354881</v>
      </c>
      <c r="O12" s="40">
        <f t="shared" si="2"/>
        <v>0.11057207087732013</v>
      </c>
      <c r="P12" s="39"/>
    </row>
    <row r="13" spans="1:26" x14ac:dyDescent="0.25">
      <c r="A13" s="26" t="s">
        <v>49</v>
      </c>
      <c r="B13" s="16">
        <v>8.178199790399833E-2</v>
      </c>
      <c r="C13" s="17">
        <v>8.3597091855348887E-2</v>
      </c>
      <c r="D13" s="17">
        <v>8.2319088538149857E-2</v>
      </c>
      <c r="E13" s="17">
        <v>8.0581836366911005E-2</v>
      </c>
      <c r="F13" s="17">
        <v>8.614214076168418E-2</v>
      </c>
      <c r="G13" s="18">
        <v>7.5427706791997062E-2</v>
      </c>
      <c r="I13" s="41" t="s">
        <v>64</v>
      </c>
      <c r="J13" s="39">
        <f t="shared" ref="J13:O13" si="3">B23-J12</f>
        <v>0.54889741104112799</v>
      </c>
      <c r="K13" s="39">
        <f t="shared" si="3"/>
        <v>0.34657654125826354</v>
      </c>
      <c r="L13" s="39">
        <f t="shared" si="3"/>
        <v>0.43835462938151548</v>
      </c>
      <c r="M13" s="39" t="e">
        <f t="shared" si="3"/>
        <v>#REF!</v>
      </c>
      <c r="N13" s="39">
        <f t="shared" si="3"/>
        <v>0.41956678989781016</v>
      </c>
      <c r="O13" s="39">
        <f t="shared" si="3"/>
        <v>1.9384431380384937</v>
      </c>
    </row>
    <row r="14" spans="1:26" x14ac:dyDescent="0.25">
      <c r="A14" s="26" t="s">
        <v>50</v>
      </c>
      <c r="B14" s="16">
        <v>2.2213393393729547E-2</v>
      </c>
      <c r="C14" s="17">
        <v>2.2499440397326945E-2</v>
      </c>
      <c r="D14" s="17">
        <v>2.5727363658504924E-2</v>
      </c>
      <c r="E14" s="17">
        <v>2.1602815721194699E-2</v>
      </c>
      <c r="F14" s="17">
        <v>2.2534367348294813E-2</v>
      </c>
      <c r="G14" s="18">
        <v>3.3710736391869278E-2</v>
      </c>
      <c r="I14" s="41"/>
    </row>
    <row r="15" spans="1:26" x14ac:dyDescent="0.25">
      <c r="A15" s="26" t="s">
        <v>51</v>
      </c>
      <c r="B15" s="16">
        <v>6.2010817864265259E-2</v>
      </c>
      <c r="C15" s="17">
        <v>6.2809345505958417E-2</v>
      </c>
      <c r="D15" s="17">
        <v>7.1820402838839212E-2</v>
      </c>
      <c r="E15" s="17">
        <v>6.0306331738600477E-2</v>
      </c>
      <c r="F15" s="17">
        <v>6.2906847438987432E-2</v>
      </c>
      <c r="G15" s="18">
        <v>9.4106753408353935E-2</v>
      </c>
      <c r="I15" s="43"/>
      <c r="S15" t="s">
        <v>67</v>
      </c>
    </row>
    <row r="16" spans="1:26" x14ac:dyDescent="0.25">
      <c r="A16" s="26" t="s">
        <v>52</v>
      </c>
      <c r="B16" s="16">
        <v>6.2010817864265259E-2</v>
      </c>
      <c r="C16" s="17">
        <v>6.2809345505958417E-2</v>
      </c>
      <c r="D16" s="17">
        <v>7.1820402838839212E-2</v>
      </c>
      <c r="E16" s="17">
        <v>6.0306331738600477E-2</v>
      </c>
      <c r="F16" s="17">
        <v>6.2906847438987432E-2</v>
      </c>
      <c r="G16" s="18">
        <v>9.4106753408353935E-2</v>
      </c>
      <c r="I16" s="41"/>
      <c r="T16" t="s">
        <v>27</v>
      </c>
      <c r="U16">
        <v>6.94</v>
      </c>
      <c r="V16">
        <v>1</v>
      </c>
      <c r="X16">
        <f>V16*U16</f>
        <v>6.94</v>
      </c>
      <c r="Z16" s="6">
        <f>X16/$X$19</f>
        <v>4.5675924707121236E-2</v>
      </c>
    </row>
    <row r="17" spans="1:26" x14ac:dyDescent="0.25">
      <c r="A17" s="26" t="s">
        <v>53</v>
      </c>
      <c r="B17" s="16">
        <v>1.5203239822956143E-2</v>
      </c>
      <c r="C17" s="17">
        <v>1.5400794321519359E-2</v>
      </c>
      <c r="D17" s="17">
        <v>1.4988464486888115E-2</v>
      </c>
      <c r="E17" s="17">
        <v>1.8379153427883405E-2</v>
      </c>
      <c r="F17" s="17">
        <v>1.5991833269858358E-2</v>
      </c>
      <c r="G17" s="18">
        <v>1.3315085674266456E-2</v>
      </c>
      <c r="I17" s="41"/>
      <c r="T17" t="s">
        <v>68</v>
      </c>
      <c r="U17">
        <v>31</v>
      </c>
      <c r="V17">
        <v>1</v>
      </c>
      <c r="X17">
        <f>V17*U17</f>
        <v>31</v>
      </c>
      <c r="Z17" s="6">
        <f>X17/$X$19</f>
        <v>0.20402790575227064</v>
      </c>
    </row>
    <row r="18" spans="1:26" x14ac:dyDescent="0.25">
      <c r="A18" s="26" t="s">
        <v>54</v>
      </c>
      <c r="B18" s="16">
        <v>3.4969055231670551E-3</v>
      </c>
      <c r="C18" s="17">
        <v>3.5363910484415544E-3</v>
      </c>
      <c r="D18" s="17">
        <v>3.4273479396860281E-3</v>
      </c>
      <c r="E18" s="17">
        <v>3.021929175414917E-3</v>
      </c>
      <c r="F18" s="17">
        <v>3.6831284381814901E-3</v>
      </c>
      <c r="G18" s="18">
        <v>2.9994959241137118E-3</v>
      </c>
      <c r="I18" s="41"/>
      <c r="T18" t="s">
        <v>19</v>
      </c>
      <c r="U18">
        <v>19</v>
      </c>
      <c r="V18">
        <v>6</v>
      </c>
      <c r="X18">
        <f>V18*U18</f>
        <v>114</v>
      </c>
      <c r="Z18" s="6">
        <f>X18/$X$19</f>
        <v>0.75029616954060818</v>
      </c>
    </row>
    <row r="19" spans="1:26" x14ac:dyDescent="0.25">
      <c r="A19" s="26" t="s">
        <v>55</v>
      </c>
      <c r="B19" s="16">
        <v>2.836452219837074E-3</v>
      </c>
      <c r="C19" s="17">
        <v>2.9285033073436295E-3</v>
      </c>
      <c r="D19" s="17">
        <v>2.9845030323360044E-3</v>
      </c>
      <c r="E19" s="17">
        <v>3.2695075508088188E-3</v>
      </c>
      <c r="F19" s="17">
        <v>2.9424613292389924E-3</v>
      </c>
      <c r="G19" s="18">
        <v>3.0729770505135852E-3</v>
      </c>
      <c r="I19" s="41"/>
      <c r="X19">
        <f>SUM(X16:X18)</f>
        <v>151.94</v>
      </c>
    </row>
    <row r="20" spans="1:26" x14ac:dyDescent="0.25">
      <c r="A20" s="27" t="s">
        <v>34</v>
      </c>
      <c r="B20" s="19">
        <v>0</v>
      </c>
      <c r="C20" s="20">
        <v>0</v>
      </c>
      <c r="D20" s="20">
        <v>0</v>
      </c>
      <c r="E20" s="20">
        <v>0</v>
      </c>
      <c r="F20" s="20">
        <v>0</v>
      </c>
      <c r="G20" s="20">
        <v>0</v>
      </c>
      <c r="I20" s="41"/>
    </row>
    <row r="21" spans="1:26" x14ac:dyDescent="0.25">
      <c r="I21" s="41"/>
      <c r="S21" t="s">
        <v>2</v>
      </c>
    </row>
    <row r="22" spans="1:26" x14ac:dyDescent="0.25">
      <c r="B22" s="3"/>
      <c r="I22" s="41" t="s">
        <v>69</v>
      </c>
    </row>
    <row r="23" spans="1:26" x14ac:dyDescent="0.25">
      <c r="A23" s="26" t="s">
        <v>45</v>
      </c>
      <c r="B23" s="12">
        <f t="shared" ref="B23:B29" si="4">B8*$J$6</f>
        <v>1.7645511072397706</v>
      </c>
      <c r="C23" s="39">
        <f t="shared" ref="C23:C29" si="5">C8*$K$6</f>
        <v>1.4877415424366689</v>
      </c>
      <c r="D23" s="39">
        <f t="shared" ref="D23:D29" si="6">D8*$L$6</f>
        <v>1.4844979392874531</v>
      </c>
      <c r="E23" s="39">
        <f t="shared" ref="E23:E29" si="7">E8*$M$6</f>
        <v>1.8213742709014502</v>
      </c>
      <c r="F23" s="39">
        <f t="shared" ref="F23:F29" si="8">F8*$N$6</f>
        <v>1.3645927722526912</v>
      </c>
      <c r="G23" s="39">
        <f t="shared" ref="G23:G29" si="9">G8*$O$6</f>
        <v>2.0490152089158138</v>
      </c>
      <c r="I23" s="41">
        <f>F23*0.01</f>
        <v>1.3645927722526912E-2</v>
      </c>
      <c r="T23" t="s">
        <v>27</v>
      </c>
      <c r="U23">
        <v>6.9409999999999998</v>
      </c>
      <c r="V23">
        <v>1</v>
      </c>
      <c r="X23">
        <f>V23*U23</f>
        <v>6.9409999999999998</v>
      </c>
      <c r="Z23" s="6">
        <f>X23/$X$29</f>
        <v>7.2234694383031831E-2</v>
      </c>
    </row>
    <row r="24" spans="1:26" x14ac:dyDescent="0.25">
      <c r="A24" s="26" t="s">
        <v>33</v>
      </c>
      <c r="B24" s="12">
        <f t="shared" si="4"/>
        <v>0.98501536609544393</v>
      </c>
      <c r="C24" s="39">
        <f t="shared" si="5"/>
        <v>0.96615593271143463</v>
      </c>
      <c r="D24" s="39">
        <f t="shared" si="6"/>
        <v>0.9840869715589361</v>
      </c>
      <c r="E24" s="39">
        <f t="shared" si="7"/>
        <v>0.95135480509904424</v>
      </c>
      <c r="F24" s="39">
        <f t="shared" si="8"/>
        <v>0.98531357060081548</v>
      </c>
      <c r="G24" s="39">
        <f t="shared" si="9"/>
        <v>1.0560349264523448</v>
      </c>
      <c r="I24" s="41"/>
      <c r="T24" t="s">
        <v>29</v>
      </c>
      <c r="U24">
        <v>58.7</v>
      </c>
      <c r="V24">
        <v>0.8</v>
      </c>
      <c r="X24">
        <f>V24*U24</f>
        <v>46.960000000000008</v>
      </c>
      <c r="Z24" s="6">
        <f>X24/$X$29</f>
        <v>0.48871074027188804</v>
      </c>
    </row>
    <row r="25" spans="1:26" x14ac:dyDescent="0.25">
      <c r="A25" s="26" t="s">
        <v>46</v>
      </c>
      <c r="B25" s="12">
        <f t="shared" si="4"/>
        <v>0.11895850161166995</v>
      </c>
      <c r="C25" s="39">
        <f t="shared" si="5"/>
        <v>0.10029718263617993</v>
      </c>
      <c r="D25" s="39">
        <f t="shared" si="6"/>
        <v>8.247210773819183E-2</v>
      </c>
      <c r="E25" s="39">
        <f t="shared" si="7"/>
        <v>0.1227892766899854</v>
      </c>
      <c r="F25" s="39">
        <f t="shared" si="8"/>
        <v>9.1995018354114E-2</v>
      </c>
      <c r="G25" s="39">
        <f t="shared" si="9"/>
        <v>0.13813585678084139</v>
      </c>
      <c r="I25" s="42"/>
      <c r="T25" t="s">
        <v>28</v>
      </c>
      <c r="U25">
        <v>58.93</v>
      </c>
      <c r="V25">
        <v>0.15</v>
      </c>
      <c r="X25">
        <f>V25*U25</f>
        <v>8.8394999999999992</v>
      </c>
      <c r="Z25" s="6">
        <f>X25/$X$29</f>
        <v>9.1992303846536491E-2</v>
      </c>
    </row>
    <row r="26" spans="1:26" x14ac:dyDescent="0.25">
      <c r="A26" s="26" t="s">
        <v>47</v>
      </c>
      <c r="B26" s="12">
        <f t="shared" si="4"/>
        <v>0.15097499868141498</v>
      </c>
      <c r="C26" s="39">
        <f t="shared" si="5"/>
        <v>0.13443129777812018</v>
      </c>
      <c r="D26" s="39">
        <f t="shared" si="6"/>
        <v>0.17037530127613598</v>
      </c>
      <c r="E26" s="39">
        <f t="shared" si="7"/>
        <v>0.15239570277318315</v>
      </c>
      <c r="F26" s="39">
        <f t="shared" si="8"/>
        <v>0.1285211242740853</v>
      </c>
      <c r="G26" s="39">
        <f t="shared" si="9"/>
        <v>0.17069399958678952</v>
      </c>
      <c r="T26" t="s">
        <v>32</v>
      </c>
      <c r="U26">
        <v>26.981200000000001</v>
      </c>
      <c r="V26">
        <v>0.05</v>
      </c>
      <c r="X26">
        <f>V26*U26</f>
        <v>1.3490600000000001</v>
      </c>
      <c r="Z26" s="6">
        <f>X26/$X$29</f>
        <v>1.4039610546660844E-2</v>
      </c>
    </row>
    <row r="27" spans="1:26" x14ac:dyDescent="0.25">
      <c r="A27" s="26" t="s">
        <v>48</v>
      </c>
      <c r="B27" s="12">
        <f>B12*$J$6</f>
        <v>0.80053395340397371</v>
      </c>
      <c r="C27" s="39">
        <f t="shared" si="5"/>
        <v>0.73835302820149351</v>
      </c>
      <c r="D27" s="39">
        <f t="shared" si="6"/>
        <v>0.75008413302288457</v>
      </c>
      <c r="E27" s="39">
        <f t="shared" si="7"/>
        <v>0.83015253802491629</v>
      </c>
      <c r="F27" s="39">
        <f t="shared" si="8"/>
        <v>0.74341713154694844</v>
      </c>
      <c r="G27" s="39">
        <f t="shared" si="9"/>
        <v>0.87168544846185236</v>
      </c>
      <c r="T27" t="s">
        <v>35</v>
      </c>
      <c r="U27">
        <v>16</v>
      </c>
      <c r="V27">
        <v>2</v>
      </c>
      <c r="X27">
        <f>V27*U27</f>
        <v>32</v>
      </c>
      <c r="Z27" s="6">
        <f>X27/$X$29</f>
        <v>0.33302265095188277</v>
      </c>
    </row>
    <row r="28" spans="1:26" x14ac:dyDescent="0.25">
      <c r="A28" s="26" t="s">
        <v>49</v>
      </c>
      <c r="B28" s="12">
        <f t="shared" si="4"/>
        <v>0.41629890802523628</v>
      </c>
      <c r="C28" s="39">
        <f t="shared" si="5"/>
        <v>0.38381317074485111</v>
      </c>
      <c r="D28" s="39">
        <f t="shared" si="6"/>
        <v>0.39313135910603653</v>
      </c>
      <c r="E28" s="39">
        <f t="shared" si="7"/>
        <v>0.41526697669317286</v>
      </c>
      <c r="F28" s="39">
        <f t="shared" si="8"/>
        <v>0.38425652052988202</v>
      </c>
      <c r="G28" s="39">
        <f t="shared" si="9"/>
        <v>0.47309975851553665</v>
      </c>
    </row>
    <row r="29" spans="1:26" x14ac:dyDescent="0.25">
      <c r="A29" s="26" t="s">
        <v>50</v>
      </c>
      <c r="B29" s="12">
        <f t="shared" si="4"/>
        <v>0.1130739239728515</v>
      </c>
      <c r="C29" s="39">
        <f t="shared" si="5"/>
        <v>0.1033000235681082</v>
      </c>
      <c r="D29" s="39">
        <f t="shared" si="6"/>
        <v>0.12286619811875062</v>
      </c>
      <c r="E29" s="39">
        <f t="shared" si="7"/>
        <v>0.11132702327300109</v>
      </c>
      <c r="F29" s="39">
        <f t="shared" si="8"/>
        <v>0.1005196470976194</v>
      </c>
      <c r="G29" s="39">
        <f t="shared" si="9"/>
        <v>0.21144141754640247</v>
      </c>
      <c r="X29">
        <f>SUM(X23:X27)</f>
        <v>96.089560000000006</v>
      </c>
    </row>
    <row r="30" spans="1:26" x14ac:dyDescent="0.25">
      <c r="A30" s="26" t="s">
        <v>62</v>
      </c>
      <c r="B30" s="12">
        <f t="shared" ref="B30:G30" si="10">SUM(B15:B16)*J6</f>
        <v>0.63131340452085827</v>
      </c>
      <c r="C30" s="39">
        <f t="shared" si="10"/>
        <v>0.57674384397878531</v>
      </c>
      <c r="D30" s="39">
        <f t="shared" si="10"/>
        <v>0.68598554918379062</v>
      </c>
      <c r="E30" s="39">
        <f t="shared" si="10"/>
        <v>0.62156012286728068</v>
      </c>
      <c r="F30" s="39">
        <f t="shared" si="10"/>
        <v>0.56122046888254817</v>
      </c>
      <c r="G30" s="39">
        <f t="shared" si="10"/>
        <v>1.1805179875068721</v>
      </c>
    </row>
    <row r="31" spans="1:26" x14ac:dyDescent="0.25">
      <c r="A31" s="26" t="s">
        <v>63</v>
      </c>
      <c r="B31" s="12">
        <f t="shared" ref="B31:G31" si="11">SUM(B17:B19)*J6</f>
        <v>0.10962879703443747</v>
      </c>
      <c r="C31" s="39">
        <f t="shared" si="11"/>
        <v>0.10039032597303285</v>
      </c>
      <c r="D31" s="39">
        <f t="shared" si="11"/>
        <v>0.10220150940763026</v>
      </c>
      <c r="E31" s="39">
        <f t="shared" si="11"/>
        <v>0.12713636035650394</v>
      </c>
      <c r="F31" s="39">
        <f t="shared" si="11"/>
        <v>0.10089013580125525</v>
      </c>
      <c r="G31" s="39">
        <f t="shared" si="11"/>
        <v>0.12160318409641244</v>
      </c>
    </row>
    <row r="34" spans="1:11" x14ac:dyDescent="0.25">
      <c r="B34">
        <f t="shared" ref="B34:G34" si="12">B29*0.05</f>
        <v>5.6536961986425752E-3</v>
      </c>
      <c r="C34">
        <f t="shared" si="12"/>
        <v>5.1650011784054109E-3</v>
      </c>
      <c r="D34">
        <f t="shared" si="12"/>
        <v>6.1433099059375312E-3</v>
      </c>
      <c r="E34">
        <f t="shared" si="12"/>
        <v>5.5663511636500551E-3</v>
      </c>
      <c r="F34">
        <f t="shared" si="12"/>
        <v>5.0259823548809701E-3</v>
      </c>
      <c r="G34">
        <f t="shared" si="12"/>
        <v>1.0572070877320124E-2</v>
      </c>
    </row>
    <row r="39" spans="1:11" x14ac:dyDescent="0.25">
      <c r="A39" s="44" t="s">
        <v>70</v>
      </c>
    </row>
    <row r="40" spans="1:11" x14ac:dyDescent="0.25">
      <c r="A40" s="44"/>
      <c r="B40" s="45" t="s">
        <v>27</v>
      </c>
      <c r="C40" s="46" t="s">
        <v>28</v>
      </c>
      <c r="D40" s="46" t="s">
        <v>29</v>
      </c>
      <c r="E40" s="46" t="s">
        <v>30</v>
      </c>
      <c r="F40" s="46" t="s">
        <v>35</v>
      </c>
      <c r="G40" s="46" t="s">
        <v>68</v>
      </c>
      <c r="H40" s="46" t="s">
        <v>19</v>
      </c>
      <c r="I40" s="46" t="s">
        <v>32</v>
      </c>
      <c r="J40" s="46" t="s">
        <v>71</v>
      </c>
      <c r="K40" s="46" t="s">
        <v>72</v>
      </c>
    </row>
    <row r="41" spans="1:11" x14ac:dyDescent="0.25">
      <c r="A41" s="44" t="s">
        <v>1</v>
      </c>
      <c r="B41" s="47">
        <v>7.0910391335444981E-2</v>
      </c>
      <c r="C41" s="47">
        <v>0.60212526821293555</v>
      </c>
      <c r="D41" s="47">
        <v>0</v>
      </c>
      <c r="E41" s="47">
        <v>0</v>
      </c>
      <c r="F41" s="47">
        <v>0.32696434045161948</v>
      </c>
      <c r="G41" s="47">
        <v>0</v>
      </c>
      <c r="H41" s="47">
        <v>0</v>
      </c>
      <c r="I41" s="47">
        <v>0</v>
      </c>
      <c r="J41" s="47">
        <v>0</v>
      </c>
      <c r="K41" s="48">
        <v>1</v>
      </c>
    </row>
    <row r="42" spans="1:11" x14ac:dyDescent="0.25">
      <c r="A42" s="44" t="s">
        <v>39</v>
      </c>
      <c r="B42" s="47">
        <v>7.1946921003524789E-2</v>
      </c>
      <c r="C42" s="47">
        <v>0.20364226968000551</v>
      </c>
      <c r="D42" s="47">
        <v>0.20281291036008017</v>
      </c>
      <c r="E42" s="47">
        <v>0.18985417098624646</v>
      </c>
      <c r="F42" s="47">
        <v>0.33174372797014307</v>
      </c>
      <c r="G42" s="47">
        <v>0</v>
      </c>
      <c r="H42" s="47">
        <v>0</v>
      </c>
      <c r="I42" s="47">
        <v>0</v>
      </c>
      <c r="J42" s="47">
        <v>0</v>
      </c>
      <c r="K42" s="48">
        <v>1</v>
      </c>
    </row>
    <row r="43" spans="1:11" x14ac:dyDescent="0.25">
      <c r="A43" s="44" t="s">
        <v>40</v>
      </c>
      <c r="B43" s="47">
        <v>7.159953780125454E-2</v>
      </c>
      <c r="C43" s="47">
        <v>0.12159541102674151</v>
      </c>
      <c r="D43" s="47">
        <v>0.36330059425552985</v>
      </c>
      <c r="E43" s="47">
        <v>0.11336249587322549</v>
      </c>
      <c r="F43" s="47">
        <v>0.33014196104324861</v>
      </c>
      <c r="G43" s="47">
        <v>0</v>
      </c>
      <c r="H43" s="47">
        <v>0</v>
      </c>
      <c r="I43" s="47">
        <v>0</v>
      </c>
      <c r="J43" s="47">
        <v>0</v>
      </c>
      <c r="K43" s="48">
        <v>1</v>
      </c>
    </row>
    <row r="44" spans="1:11" x14ac:dyDescent="0.25">
      <c r="A44" s="44" t="s">
        <v>41</v>
      </c>
      <c r="B44" s="47">
        <v>7.1341193885627943E-2</v>
      </c>
      <c r="C44" s="47">
        <v>6.0578336537176584E-2</v>
      </c>
      <c r="D44" s="47">
        <v>0.4826529877979831</v>
      </c>
      <c r="E44" s="47">
        <v>5.6476731874299697E-2</v>
      </c>
      <c r="F44" s="47">
        <v>0.32895074990491269</v>
      </c>
      <c r="G44" s="47">
        <v>0</v>
      </c>
      <c r="H44" s="47">
        <v>0</v>
      </c>
      <c r="I44" s="47">
        <v>0</v>
      </c>
      <c r="J44" s="47">
        <v>0</v>
      </c>
      <c r="K44" s="48">
        <v>1</v>
      </c>
    </row>
    <row r="45" spans="1:11" x14ac:dyDescent="0.25">
      <c r="A45" s="44" t="s">
        <v>67</v>
      </c>
      <c r="B45" s="47">
        <v>4.5684945033243371E-2</v>
      </c>
      <c r="C45" s="47">
        <v>0</v>
      </c>
      <c r="D45" s="47">
        <v>0</v>
      </c>
      <c r="E45" s="47">
        <v>0</v>
      </c>
      <c r="F45" s="47">
        <v>0</v>
      </c>
      <c r="G45" s="47">
        <v>0.20387071292212494</v>
      </c>
      <c r="H45" s="47">
        <v>0.75044434204463173</v>
      </c>
      <c r="I45" s="47">
        <v>0</v>
      </c>
      <c r="J45" s="47">
        <v>0</v>
      </c>
      <c r="K45" s="48">
        <v>1</v>
      </c>
    </row>
    <row r="46" spans="1:11" x14ac:dyDescent="0.25">
      <c r="A46" s="44" t="s">
        <v>2</v>
      </c>
      <c r="B46" s="47">
        <v>7.2231097881463979E-2</v>
      </c>
      <c r="C46" s="47">
        <v>9.2000978346282541E-2</v>
      </c>
      <c r="D46" s="47">
        <v>0.48867356019171421</v>
      </c>
      <c r="E46" s="47">
        <v>0</v>
      </c>
      <c r="F46" s="47">
        <v>0.33305405363211055</v>
      </c>
      <c r="G46" s="47">
        <v>0</v>
      </c>
      <c r="H46" s="47">
        <v>0</v>
      </c>
      <c r="I46" s="47">
        <v>1.4040309948428663E-2</v>
      </c>
      <c r="J46" s="47">
        <v>0</v>
      </c>
      <c r="K46" s="48">
        <v>0.99999999999999989</v>
      </c>
    </row>
    <row r="47" spans="1:11" x14ac:dyDescent="0.25">
      <c r="A47" s="44" t="s">
        <v>5</v>
      </c>
      <c r="B47" s="47">
        <v>3.8380710098440442E-2</v>
      </c>
      <c r="C47" s="47">
        <v>0</v>
      </c>
      <c r="D47" s="47">
        <v>0</v>
      </c>
      <c r="E47" s="47">
        <v>0.60767614201968811</v>
      </c>
      <c r="F47" s="47">
        <v>0.35394314788187148</v>
      </c>
      <c r="G47" s="47">
        <v>0</v>
      </c>
      <c r="H47" s="47">
        <v>0</v>
      </c>
      <c r="I47" s="47">
        <v>0</v>
      </c>
      <c r="J47" s="47">
        <v>0</v>
      </c>
      <c r="K47" s="48">
        <v>1</v>
      </c>
    </row>
    <row r="48" spans="1:11" x14ac:dyDescent="0.25">
      <c r="A48" s="44" t="s">
        <v>6</v>
      </c>
      <c r="B48" s="47">
        <v>4.3990872210953352E-2</v>
      </c>
      <c r="C48" s="47">
        <v>0</v>
      </c>
      <c r="D48" s="47">
        <v>0</v>
      </c>
      <c r="E48" s="47">
        <v>0</v>
      </c>
      <c r="F48" s="47">
        <v>0.40567951318458423</v>
      </c>
      <c r="G48" s="47">
        <v>0.1963108519269777</v>
      </c>
      <c r="H48" s="47">
        <v>0</v>
      </c>
      <c r="I48" s="47">
        <v>0</v>
      </c>
      <c r="J48" s="47">
        <v>0.35401876267748483</v>
      </c>
      <c r="K48" s="48">
        <v>1.0000000000000002</v>
      </c>
    </row>
  </sheetData>
  <mergeCells count="2">
    <mergeCell ref="B1:G1"/>
    <mergeCell ref="B6:G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AH39"/>
  <sheetViews>
    <sheetView zoomScale="70" zoomScaleNormal="70" workbookViewId="0">
      <selection activeCell="L41" sqref="L41"/>
    </sheetView>
  </sheetViews>
  <sheetFormatPr defaultRowHeight="15" x14ac:dyDescent="0.25"/>
  <sheetData>
    <row r="4" spans="2:13" x14ac:dyDescent="0.25">
      <c r="B4" s="1" t="s">
        <v>8</v>
      </c>
      <c r="C4" s="1" t="s">
        <v>9</v>
      </c>
      <c r="D4" s="1" t="s">
        <v>10</v>
      </c>
      <c r="E4" s="1" t="s">
        <v>11</v>
      </c>
      <c r="F4" s="4">
        <v>0.25</v>
      </c>
      <c r="G4" s="4">
        <v>0.5</v>
      </c>
      <c r="H4" s="4">
        <v>0.75</v>
      </c>
      <c r="I4" s="1" t="s">
        <v>12</v>
      </c>
      <c r="J4" s="1" t="s">
        <v>13</v>
      </c>
      <c r="M4" s="1"/>
    </row>
    <row r="5" spans="2:13" x14ac:dyDescent="0.25">
      <c r="B5" s="1" t="s">
        <v>14</v>
      </c>
      <c r="C5">
        <v>24.9</v>
      </c>
      <c r="D5">
        <v>9.452</v>
      </c>
      <c r="E5">
        <v>17.600000000000001</v>
      </c>
      <c r="F5">
        <v>17.600000000000001</v>
      </c>
      <c r="G5">
        <v>20.3</v>
      </c>
      <c r="H5">
        <v>33.35</v>
      </c>
      <c r="I5">
        <v>36.799999999999997</v>
      </c>
      <c r="J5">
        <f>D5^2</f>
        <v>89.340304000000003</v>
      </c>
    </row>
    <row r="6" spans="2:13" x14ac:dyDescent="0.25">
      <c r="B6" s="1" t="s">
        <v>15</v>
      </c>
      <c r="C6">
        <v>44.674999999999997</v>
      </c>
      <c r="D6">
        <v>7.97</v>
      </c>
      <c r="E6">
        <v>32.6</v>
      </c>
      <c r="F6">
        <v>40.734999999999999</v>
      </c>
      <c r="G6">
        <v>42.2</v>
      </c>
      <c r="H6">
        <v>51.174999999999997</v>
      </c>
      <c r="I6">
        <v>54.7</v>
      </c>
      <c r="J6">
        <f>D6^2</f>
        <v>63.520899999999997</v>
      </c>
    </row>
    <row r="7" spans="2:13" x14ac:dyDescent="0.25">
      <c r="B7" s="1" t="s">
        <v>16</v>
      </c>
      <c r="C7">
        <v>55.563400000000001</v>
      </c>
      <c r="D7">
        <v>17.047999999999998</v>
      </c>
      <c r="E7">
        <v>35</v>
      </c>
      <c r="F7">
        <v>40.200000000000003</v>
      </c>
      <c r="G7">
        <v>62</v>
      </c>
      <c r="H7">
        <v>62</v>
      </c>
      <c r="I7">
        <v>82</v>
      </c>
      <c r="J7">
        <f>D7^2</f>
        <v>290.63430399999993</v>
      </c>
    </row>
    <row r="8" spans="2:13" x14ac:dyDescent="0.25">
      <c r="B8" s="1" t="s">
        <v>17</v>
      </c>
      <c r="C8">
        <v>71</v>
      </c>
      <c r="D8">
        <v>11.936999999999999</v>
      </c>
      <c r="E8">
        <v>50</v>
      </c>
      <c r="F8">
        <v>75</v>
      </c>
      <c r="G8">
        <v>75</v>
      </c>
      <c r="H8">
        <v>75</v>
      </c>
      <c r="I8">
        <v>80</v>
      </c>
      <c r="J8">
        <f>D8^2</f>
        <v>142.49196899999998</v>
      </c>
    </row>
    <row r="9" spans="2:13" x14ac:dyDescent="0.25">
      <c r="B9" s="1" t="s">
        <v>18</v>
      </c>
      <c r="C9">
        <v>75</v>
      </c>
    </row>
    <row r="10" spans="2:13" x14ac:dyDescent="0.25">
      <c r="B10" s="1" t="s">
        <v>19</v>
      </c>
      <c r="C10">
        <v>91.92</v>
      </c>
      <c r="D10">
        <v>14.01</v>
      </c>
      <c r="E10">
        <v>60</v>
      </c>
      <c r="F10">
        <v>93.4</v>
      </c>
      <c r="G10">
        <v>98.35</v>
      </c>
      <c r="H10">
        <v>98.35</v>
      </c>
      <c r="I10">
        <v>113</v>
      </c>
      <c r="J10">
        <f t="shared" ref="J10:J15" si="0">D10^2</f>
        <v>196.2801</v>
      </c>
    </row>
    <row r="11" spans="2:13" x14ac:dyDescent="0.25">
      <c r="B11" s="1" t="s">
        <v>20</v>
      </c>
      <c r="C11">
        <v>53.355600000000003</v>
      </c>
      <c r="D11">
        <v>18.89</v>
      </c>
      <c r="E11">
        <v>42</v>
      </c>
      <c r="F11">
        <v>44.5</v>
      </c>
      <c r="G11">
        <v>67.099999999999994</v>
      </c>
      <c r="H11">
        <v>67.099999999999994</v>
      </c>
      <c r="I11">
        <v>67.5</v>
      </c>
      <c r="J11">
        <f t="shared" si="0"/>
        <v>356.83210000000003</v>
      </c>
    </row>
    <row r="12" spans="2:13" x14ac:dyDescent="0.25">
      <c r="B12" s="1" t="s">
        <v>21</v>
      </c>
      <c r="C12">
        <v>68.066670000000002</v>
      </c>
      <c r="D12">
        <v>16.323149999999998</v>
      </c>
      <c r="E12">
        <v>35.5</v>
      </c>
      <c r="F12">
        <v>55</v>
      </c>
      <c r="G12">
        <v>82</v>
      </c>
      <c r="H12">
        <v>82</v>
      </c>
      <c r="I12">
        <v>90</v>
      </c>
      <c r="J12">
        <f t="shared" si="0"/>
        <v>266.44522592249996</v>
      </c>
    </row>
    <row r="13" spans="2:13" x14ac:dyDescent="0.25">
      <c r="B13" s="1" t="s">
        <v>22</v>
      </c>
      <c r="C13">
        <v>82.8</v>
      </c>
      <c r="D13">
        <v>9.119332</v>
      </c>
      <c r="E13">
        <v>75</v>
      </c>
      <c r="F13">
        <v>75.7</v>
      </c>
      <c r="G13">
        <v>84.25</v>
      </c>
      <c r="H13">
        <v>84.25</v>
      </c>
      <c r="I13">
        <v>98.8</v>
      </c>
      <c r="J13">
        <f t="shared" si="0"/>
        <v>83.162216126223996</v>
      </c>
    </row>
    <row r="14" spans="2:13" x14ac:dyDescent="0.25">
      <c r="B14" s="1" t="s">
        <v>23</v>
      </c>
      <c r="C14">
        <v>90.181820000000002</v>
      </c>
      <c r="D14">
        <v>11.711690000000001</v>
      </c>
      <c r="E14">
        <v>71</v>
      </c>
      <c r="F14">
        <v>85</v>
      </c>
      <c r="G14">
        <v>95</v>
      </c>
      <c r="H14">
        <v>95</v>
      </c>
      <c r="I14">
        <v>105</v>
      </c>
      <c r="J14">
        <f t="shared" si="0"/>
        <v>137.16368265610001</v>
      </c>
    </row>
    <row r="15" spans="2:13" x14ac:dyDescent="0.25">
      <c r="B15" s="1" t="s">
        <v>24</v>
      </c>
      <c r="C15">
        <v>100</v>
      </c>
      <c r="D15">
        <v>0</v>
      </c>
      <c r="E15">
        <v>100</v>
      </c>
      <c r="F15">
        <v>100</v>
      </c>
      <c r="G15">
        <v>100</v>
      </c>
      <c r="H15">
        <v>100</v>
      </c>
      <c r="I15">
        <v>100</v>
      </c>
      <c r="J15">
        <f t="shared" si="0"/>
        <v>0</v>
      </c>
    </row>
    <row r="20" spans="2:34" x14ac:dyDescent="0.25">
      <c r="C20" s="76" t="s">
        <v>217</v>
      </c>
      <c r="D20" s="76"/>
      <c r="E20" s="76"/>
      <c r="F20" s="76"/>
      <c r="G20" s="76"/>
      <c r="H20" s="76"/>
    </row>
    <row r="21" spans="2:34" x14ac:dyDescent="0.25">
      <c r="C21" s="76"/>
      <c r="D21" s="76"/>
      <c r="E21" s="76"/>
      <c r="F21" s="76"/>
      <c r="G21" s="76"/>
      <c r="H21" s="76"/>
      <c r="AC21" s="75" t="s">
        <v>215</v>
      </c>
      <c r="AD21" s="75"/>
      <c r="AE21" s="75"/>
      <c r="AF21" s="75"/>
      <c r="AG21" s="75"/>
      <c r="AH21" s="75"/>
    </row>
    <row r="22" spans="2:34" x14ac:dyDescent="0.25">
      <c r="C22" s="76"/>
      <c r="D22" s="76"/>
      <c r="E22" s="76"/>
      <c r="F22" s="76"/>
      <c r="G22" s="76"/>
      <c r="H22" s="76"/>
      <c r="AC22" s="75"/>
      <c r="AD22" s="75"/>
      <c r="AE22" s="75"/>
      <c r="AF22" s="75"/>
      <c r="AG22" s="75"/>
      <c r="AH22" s="75"/>
    </row>
    <row r="23" spans="2:34" x14ac:dyDescent="0.25">
      <c r="C23" s="55">
        <v>2015</v>
      </c>
      <c r="D23" s="55">
        <v>2016</v>
      </c>
      <c r="E23" s="55">
        <v>2017</v>
      </c>
      <c r="F23" s="55">
        <v>2018</v>
      </c>
      <c r="G23" s="55">
        <v>2019</v>
      </c>
      <c r="H23" s="55">
        <v>2020</v>
      </c>
      <c r="AC23">
        <v>2015</v>
      </c>
      <c r="AD23">
        <v>2016</v>
      </c>
      <c r="AE23">
        <v>2017</v>
      </c>
      <c r="AF23">
        <v>2018</v>
      </c>
      <c r="AG23">
        <v>2019</v>
      </c>
      <c r="AH23">
        <v>2020</v>
      </c>
    </row>
    <row r="24" spans="2:34" x14ac:dyDescent="0.25">
      <c r="B24" s="1" t="s">
        <v>14</v>
      </c>
      <c r="C24" s="2">
        <f t="shared" ref="C24:C30" si="1">100*AC24/$AC$34</f>
        <v>8.4210526315789472E-2</v>
      </c>
      <c r="D24" s="2">
        <f t="shared" ref="D24:D30" si="2">100*AD24/$AD$34</f>
        <v>8.5197018104366348E-2</v>
      </c>
      <c r="E24" s="2">
        <f t="shared" ref="E24:E30" si="3">100*AE24/$AE$34</f>
        <v>8.1309398099260827E-2</v>
      </c>
      <c r="F24" s="2">
        <f t="shared" ref="F24:F30" si="4">100*AF24/$AF$34</f>
        <v>7.8124999999999986E-2</v>
      </c>
      <c r="G24" s="2">
        <f t="shared" ref="G24:G30" si="5">100*AG24/$AG$34</f>
        <v>7.518796992481204E-2</v>
      </c>
      <c r="H24" s="7">
        <v>7.7659574468085107E-2</v>
      </c>
      <c r="AB24" t="s">
        <v>14</v>
      </c>
      <c r="AC24" s="2">
        <v>0.08</v>
      </c>
      <c r="AD24" s="2">
        <v>0.08</v>
      </c>
      <c r="AE24" s="2">
        <v>7.6999999999999999E-2</v>
      </c>
      <c r="AF24" s="2">
        <v>7.4999999999999997E-2</v>
      </c>
      <c r="AG24" s="2">
        <v>7.0000000000000007E-2</v>
      </c>
      <c r="AH24" s="7">
        <v>7.7659574468085107E-2</v>
      </c>
    </row>
    <row r="25" spans="2:34" x14ac:dyDescent="0.25">
      <c r="B25" s="1" t="s">
        <v>15</v>
      </c>
      <c r="C25" s="2">
        <f t="shared" si="1"/>
        <v>0.24736842105263157</v>
      </c>
      <c r="D25" s="2">
        <f t="shared" si="2"/>
        <v>0.22896698615548458</v>
      </c>
      <c r="E25" s="2">
        <f t="shared" si="3"/>
        <v>0.21119324181626187</v>
      </c>
      <c r="F25" s="2">
        <f t="shared" si="4"/>
        <v>0.20312499999999997</v>
      </c>
      <c r="G25" s="2">
        <f t="shared" si="5"/>
        <v>0.1933404940923738</v>
      </c>
      <c r="H25" s="7">
        <v>0.19255319148936167</v>
      </c>
      <c r="AB25" t="s">
        <v>15</v>
      </c>
      <c r="AC25" s="2">
        <v>0.23499999999999999</v>
      </c>
      <c r="AD25" s="2">
        <v>0.215</v>
      </c>
      <c r="AE25" s="2">
        <v>0.2</v>
      </c>
      <c r="AF25" s="2">
        <v>0.19500000000000001</v>
      </c>
      <c r="AG25" s="2">
        <v>0.18</v>
      </c>
      <c r="AH25" s="7">
        <v>0.19255319148936167</v>
      </c>
    </row>
    <row r="26" spans="2:34" x14ac:dyDescent="0.25">
      <c r="B26" s="1" t="s">
        <v>16</v>
      </c>
      <c r="C26" s="2">
        <f t="shared" si="1"/>
        <v>0.31578947368421051</v>
      </c>
      <c r="D26" s="2">
        <f t="shared" si="2"/>
        <v>0.30883919062832799</v>
      </c>
      <c r="E26" s="2">
        <f t="shared" si="3"/>
        <v>0.28511087645195354</v>
      </c>
      <c r="F26" s="2">
        <f t="shared" si="4"/>
        <v>0.27083333333333331</v>
      </c>
      <c r="G26" s="2">
        <f t="shared" si="5"/>
        <v>0.25241675617615467</v>
      </c>
      <c r="H26" s="7">
        <v>0.24925531914893617</v>
      </c>
      <c r="AB26" t="s">
        <v>16</v>
      </c>
      <c r="AC26" s="2">
        <v>0.3</v>
      </c>
      <c r="AD26" s="2">
        <v>0.28999999999999998</v>
      </c>
      <c r="AE26" s="2">
        <v>0.27</v>
      </c>
      <c r="AF26" s="2">
        <v>0.26</v>
      </c>
      <c r="AG26" s="2">
        <v>0.23499999999999999</v>
      </c>
      <c r="AH26" s="7">
        <v>0.24925531914893617</v>
      </c>
    </row>
    <row r="27" spans="2:34" x14ac:dyDescent="0.25">
      <c r="B27" s="1" t="s">
        <v>17</v>
      </c>
      <c r="C27" s="2">
        <f t="shared" si="1"/>
        <v>8.4210526315789472E-2</v>
      </c>
      <c r="D27" s="2">
        <f t="shared" si="2"/>
        <v>8.5197018104366348E-2</v>
      </c>
      <c r="E27" s="2">
        <f t="shared" si="3"/>
        <v>8.4477296726504753E-2</v>
      </c>
      <c r="F27" s="2">
        <f t="shared" si="4"/>
        <v>7.2916666666666671E-2</v>
      </c>
      <c r="G27" s="2">
        <f t="shared" si="5"/>
        <v>6.4446831364124602E-2</v>
      </c>
      <c r="H27" s="7">
        <v>6.3723404255319152E-2</v>
      </c>
      <c r="AB27" t="s">
        <v>17</v>
      </c>
      <c r="AC27" s="2">
        <v>0.08</v>
      </c>
      <c r="AD27" s="2">
        <v>0.08</v>
      </c>
      <c r="AE27" s="2">
        <v>0.08</v>
      </c>
      <c r="AF27" s="2">
        <v>7.0000000000000007E-2</v>
      </c>
      <c r="AG27" s="2">
        <v>0.06</v>
      </c>
      <c r="AH27" s="7">
        <v>6.3723404255319152E-2</v>
      </c>
    </row>
    <row r="28" spans="2:34" x14ac:dyDescent="0.25">
      <c r="B28" s="1" t="s">
        <v>18</v>
      </c>
      <c r="C28" s="2">
        <f t="shared" si="1"/>
        <v>3.1578947368421054E-2</v>
      </c>
      <c r="D28" s="2">
        <f t="shared" si="2"/>
        <v>2.1299254526091587E-2</v>
      </c>
      <c r="E28" s="2">
        <f t="shared" si="3"/>
        <v>2.8511087645195356E-2</v>
      </c>
      <c r="F28" s="2">
        <f t="shared" si="4"/>
        <v>3.1249999999999997E-2</v>
      </c>
      <c r="G28" s="2">
        <f t="shared" si="5"/>
        <v>2.4704618689581095E-2</v>
      </c>
      <c r="H28" s="7">
        <v>2.3829787234042551E-2</v>
      </c>
      <c r="AB28" t="s">
        <v>18</v>
      </c>
      <c r="AC28" s="2">
        <v>0.03</v>
      </c>
      <c r="AD28" s="2">
        <v>0.02</v>
      </c>
      <c r="AE28" s="2">
        <v>2.7E-2</v>
      </c>
      <c r="AF28" s="2">
        <v>0.03</v>
      </c>
      <c r="AG28" s="2">
        <v>2.3E-2</v>
      </c>
      <c r="AH28" s="7">
        <v>2.3829787234042551E-2</v>
      </c>
    </row>
    <row r="29" spans="2:34" x14ac:dyDescent="0.25">
      <c r="B29" s="1" t="s">
        <v>19</v>
      </c>
      <c r="C29" s="2">
        <f t="shared" si="1"/>
        <v>5.263157894736842E-3</v>
      </c>
      <c r="D29" s="2">
        <f t="shared" si="2"/>
        <v>4.2598509052183178E-3</v>
      </c>
      <c r="E29" s="2">
        <f t="shared" si="3"/>
        <v>3.167898627243928E-3</v>
      </c>
      <c r="F29" s="2">
        <f t="shared" si="4"/>
        <v>0</v>
      </c>
      <c r="G29" s="2">
        <f t="shared" si="5"/>
        <v>3.22234156820623E-3</v>
      </c>
      <c r="H29" s="7">
        <v>3.1914893617021275E-3</v>
      </c>
      <c r="AB29" t="s">
        <v>19</v>
      </c>
      <c r="AC29" s="2">
        <v>5.0000000000000001E-3</v>
      </c>
      <c r="AD29" s="2">
        <v>4.0000000000000001E-3</v>
      </c>
      <c r="AE29" s="2">
        <v>3.0000000000000001E-3</v>
      </c>
      <c r="AF29" s="2">
        <v>0</v>
      </c>
      <c r="AG29" s="2">
        <v>3.0000000000000001E-3</v>
      </c>
      <c r="AH29" s="7">
        <v>3.1914893617021275E-3</v>
      </c>
    </row>
    <row r="30" spans="2:34" x14ac:dyDescent="0.25">
      <c r="B30" s="1" t="s">
        <v>76</v>
      </c>
      <c r="C30" s="2">
        <f t="shared" si="1"/>
        <v>0.23157894736842105</v>
      </c>
      <c r="D30" s="2">
        <f t="shared" si="2"/>
        <v>0.26624068157614483</v>
      </c>
      <c r="E30" s="2">
        <f t="shared" si="3"/>
        <v>0.3062302006335797</v>
      </c>
      <c r="F30" s="2">
        <f t="shared" si="4"/>
        <v>0.34374999999999994</v>
      </c>
      <c r="G30" s="2">
        <f t="shared" si="5"/>
        <v>0.38668098818474761</v>
      </c>
      <c r="H30" s="7">
        <v>0.38829787234042551</v>
      </c>
      <c r="AB30" t="s">
        <v>76</v>
      </c>
      <c r="AC30" s="2">
        <v>0.22</v>
      </c>
      <c r="AD30" s="2">
        <v>0.25</v>
      </c>
      <c r="AE30" s="2">
        <v>0.28999999999999998</v>
      </c>
      <c r="AF30" s="2">
        <v>0.33</v>
      </c>
      <c r="AG30" s="2">
        <v>0.36</v>
      </c>
      <c r="AH30" s="7">
        <v>0.38829787234042551</v>
      </c>
    </row>
    <row r="32" spans="2:34" x14ac:dyDescent="0.25">
      <c r="B32" s="1" t="s">
        <v>216</v>
      </c>
      <c r="C32" s="4">
        <f t="shared" ref="C32:H32" si="6">SUM(C24:C30)</f>
        <v>1</v>
      </c>
      <c r="D32" s="4">
        <f t="shared" si="6"/>
        <v>1</v>
      </c>
      <c r="E32" s="4">
        <f t="shared" si="6"/>
        <v>1</v>
      </c>
      <c r="F32" s="4">
        <f t="shared" si="6"/>
        <v>0.99999999999999978</v>
      </c>
      <c r="G32" s="4">
        <f t="shared" si="6"/>
        <v>1</v>
      </c>
      <c r="H32" s="4">
        <f t="shared" si="6"/>
        <v>0.99851063829787234</v>
      </c>
    </row>
    <row r="33" spans="2:34" x14ac:dyDescent="0.25">
      <c r="AB33" s="1" t="s">
        <v>72</v>
      </c>
      <c r="AC33" s="8">
        <f>SUM(AC24:AC30)</f>
        <v>0.95</v>
      </c>
      <c r="AD33" s="8">
        <f t="shared" ref="AD33:AH33" si="7">SUM(AD24:AD30)</f>
        <v>0.93899999999999995</v>
      </c>
      <c r="AE33" s="8">
        <f t="shared" si="7"/>
        <v>0.94700000000000006</v>
      </c>
      <c r="AF33" s="8">
        <f t="shared" si="7"/>
        <v>0.96000000000000019</v>
      </c>
      <c r="AG33" s="8">
        <f t="shared" si="7"/>
        <v>0.93099999999999994</v>
      </c>
      <c r="AH33" s="8">
        <f t="shared" si="7"/>
        <v>0.99851063829787234</v>
      </c>
    </row>
    <row r="34" spans="2:34" x14ac:dyDescent="0.25">
      <c r="AC34" s="39">
        <f>AC33*100</f>
        <v>95</v>
      </c>
      <c r="AD34" s="39">
        <f t="shared" ref="AD34:AG34" si="8">AD33*100</f>
        <v>93.899999999999991</v>
      </c>
      <c r="AE34" s="39">
        <f t="shared" si="8"/>
        <v>94.7</v>
      </c>
      <c r="AF34" s="39">
        <f t="shared" si="8"/>
        <v>96.000000000000014</v>
      </c>
      <c r="AG34" s="39">
        <f t="shared" si="8"/>
        <v>93.1</v>
      </c>
    </row>
    <row r="37" spans="2:34" x14ac:dyDescent="0.25">
      <c r="C37" s="1">
        <v>2015</v>
      </c>
      <c r="D37" s="1">
        <v>2016</v>
      </c>
      <c r="E37" s="1">
        <v>2017</v>
      </c>
      <c r="F37" s="1">
        <v>2018</v>
      </c>
      <c r="G37" s="1">
        <v>2019</v>
      </c>
      <c r="H37" s="1">
        <v>2020</v>
      </c>
    </row>
    <row r="38" spans="2:34" x14ac:dyDescent="0.25">
      <c r="B38" t="s">
        <v>162</v>
      </c>
      <c r="C38">
        <v>324907</v>
      </c>
      <c r="D38">
        <v>465632.09375</v>
      </c>
      <c r="E38">
        <v>758053.1875</v>
      </c>
      <c r="F38">
        <v>1370922</v>
      </c>
      <c r="G38">
        <v>1542867</v>
      </c>
      <c r="H38">
        <v>2008024</v>
      </c>
    </row>
    <row r="39" spans="2:34" x14ac:dyDescent="0.25">
      <c r="B39" t="s">
        <v>163</v>
      </c>
      <c r="C39">
        <v>222567</v>
      </c>
      <c r="D39">
        <v>286459.1875</v>
      </c>
      <c r="E39">
        <v>416591.09375</v>
      </c>
      <c r="F39">
        <v>637557</v>
      </c>
      <c r="G39">
        <v>570724</v>
      </c>
      <c r="H39">
        <v>969034</v>
      </c>
    </row>
  </sheetData>
  <mergeCells count="2">
    <mergeCell ref="AC21:AH22"/>
    <mergeCell ref="C20:H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7"/>
  <sheetViews>
    <sheetView zoomScale="57" zoomScaleNormal="40" workbookViewId="0">
      <selection activeCell="U20" sqref="U20"/>
    </sheetView>
  </sheetViews>
  <sheetFormatPr defaultRowHeight="15" x14ac:dyDescent="0.25"/>
  <sheetData>
    <row r="1" spans="1:42" x14ac:dyDescent="0.25">
      <c r="A1" t="s">
        <v>195</v>
      </c>
    </row>
    <row r="2" spans="1:42" x14ac:dyDescent="0.25">
      <c r="A2" t="s">
        <v>194</v>
      </c>
      <c r="B2">
        <v>2020</v>
      </c>
      <c r="C2">
        <v>2021</v>
      </c>
      <c r="D2">
        <f>C2+1</f>
        <v>2022</v>
      </c>
      <c r="E2">
        <f t="shared" ref="E2:R2" si="0">D2+1</f>
        <v>2023</v>
      </c>
      <c r="F2">
        <f t="shared" si="0"/>
        <v>2024</v>
      </c>
      <c r="G2">
        <f t="shared" si="0"/>
        <v>2025</v>
      </c>
      <c r="H2">
        <f t="shared" si="0"/>
        <v>2026</v>
      </c>
      <c r="I2">
        <f t="shared" si="0"/>
        <v>2027</v>
      </c>
      <c r="J2">
        <f t="shared" si="0"/>
        <v>2028</v>
      </c>
      <c r="K2">
        <f t="shared" si="0"/>
        <v>2029</v>
      </c>
      <c r="L2">
        <f t="shared" si="0"/>
        <v>2030</v>
      </c>
      <c r="M2">
        <f t="shared" si="0"/>
        <v>2031</v>
      </c>
      <c r="N2">
        <f>M2+1</f>
        <v>2032</v>
      </c>
      <c r="O2">
        <f t="shared" si="0"/>
        <v>2033</v>
      </c>
      <c r="P2">
        <f t="shared" si="0"/>
        <v>2034</v>
      </c>
      <c r="Q2">
        <f>P2+1</f>
        <v>2035</v>
      </c>
      <c r="R2">
        <f t="shared" si="0"/>
        <v>2036</v>
      </c>
      <c r="S2">
        <f>R2+1</f>
        <v>2037</v>
      </c>
      <c r="T2">
        <f t="shared" ref="T2:AO2" si="1">S2+1</f>
        <v>2038</v>
      </c>
      <c r="U2">
        <f t="shared" si="1"/>
        <v>2039</v>
      </c>
      <c r="V2">
        <f t="shared" si="1"/>
        <v>2040</v>
      </c>
      <c r="W2">
        <f t="shared" si="1"/>
        <v>2041</v>
      </c>
      <c r="X2">
        <f t="shared" si="1"/>
        <v>2042</v>
      </c>
      <c r="Y2">
        <f t="shared" si="1"/>
        <v>2043</v>
      </c>
      <c r="Z2">
        <f t="shared" si="1"/>
        <v>2044</v>
      </c>
      <c r="AA2">
        <f t="shared" si="1"/>
        <v>2045</v>
      </c>
      <c r="AB2">
        <f t="shared" si="1"/>
        <v>2046</v>
      </c>
      <c r="AC2">
        <f>AB2+1</f>
        <v>2047</v>
      </c>
      <c r="AD2">
        <f t="shared" si="1"/>
        <v>2048</v>
      </c>
      <c r="AE2">
        <f t="shared" si="1"/>
        <v>2049</v>
      </c>
      <c r="AF2">
        <f t="shared" si="1"/>
        <v>2050</v>
      </c>
      <c r="AG2">
        <f>AF2+1</f>
        <v>2051</v>
      </c>
      <c r="AH2">
        <f t="shared" si="1"/>
        <v>2052</v>
      </c>
      <c r="AI2">
        <f t="shared" si="1"/>
        <v>2053</v>
      </c>
      <c r="AJ2">
        <f t="shared" si="1"/>
        <v>2054</v>
      </c>
      <c r="AK2">
        <f t="shared" si="1"/>
        <v>2055</v>
      </c>
      <c r="AL2">
        <f t="shared" si="1"/>
        <v>2056</v>
      </c>
      <c r="AM2">
        <f t="shared" si="1"/>
        <v>2057</v>
      </c>
      <c r="AN2">
        <f t="shared" si="1"/>
        <v>2058</v>
      </c>
      <c r="AO2">
        <f t="shared" si="1"/>
        <v>2059</v>
      </c>
      <c r="AP2">
        <f>AO2+1</f>
        <v>2060</v>
      </c>
    </row>
    <row r="3" spans="1:42" x14ac:dyDescent="0.25">
      <c r="B3">
        <v>120</v>
      </c>
      <c r="C3">
        <f>B3</f>
        <v>120</v>
      </c>
      <c r="D3">
        <f t="shared" ref="D3:AP3" si="2">C3</f>
        <v>120</v>
      </c>
      <c r="E3">
        <f t="shared" si="2"/>
        <v>120</v>
      </c>
      <c r="F3">
        <f t="shared" si="2"/>
        <v>120</v>
      </c>
      <c r="G3">
        <f t="shared" si="2"/>
        <v>120</v>
      </c>
      <c r="H3">
        <f t="shared" si="2"/>
        <v>120</v>
      </c>
      <c r="I3">
        <f t="shared" si="2"/>
        <v>120</v>
      </c>
      <c r="J3">
        <f t="shared" si="2"/>
        <v>120</v>
      </c>
      <c r="K3">
        <f t="shared" si="2"/>
        <v>120</v>
      </c>
      <c r="L3">
        <f t="shared" si="2"/>
        <v>120</v>
      </c>
      <c r="M3">
        <f t="shared" si="2"/>
        <v>120</v>
      </c>
      <c r="N3">
        <f t="shared" si="2"/>
        <v>120</v>
      </c>
      <c r="O3">
        <f t="shared" si="2"/>
        <v>120</v>
      </c>
      <c r="P3">
        <f t="shared" si="2"/>
        <v>120</v>
      </c>
      <c r="Q3">
        <f t="shared" si="2"/>
        <v>120</v>
      </c>
      <c r="R3">
        <f t="shared" si="2"/>
        <v>120</v>
      </c>
      <c r="S3">
        <f t="shared" si="2"/>
        <v>120</v>
      </c>
      <c r="T3">
        <f t="shared" si="2"/>
        <v>120</v>
      </c>
      <c r="U3">
        <f t="shared" si="2"/>
        <v>120</v>
      </c>
      <c r="V3">
        <f t="shared" si="2"/>
        <v>120</v>
      </c>
      <c r="W3">
        <f t="shared" si="2"/>
        <v>120</v>
      </c>
      <c r="X3">
        <f t="shared" si="2"/>
        <v>120</v>
      </c>
      <c r="Y3">
        <f t="shared" si="2"/>
        <v>120</v>
      </c>
      <c r="Z3">
        <f t="shared" si="2"/>
        <v>120</v>
      </c>
      <c r="AA3">
        <f t="shared" si="2"/>
        <v>120</v>
      </c>
      <c r="AB3">
        <f t="shared" si="2"/>
        <v>120</v>
      </c>
      <c r="AC3">
        <f t="shared" si="2"/>
        <v>120</v>
      </c>
      <c r="AD3">
        <f t="shared" si="2"/>
        <v>120</v>
      </c>
      <c r="AE3">
        <f t="shared" si="2"/>
        <v>120</v>
      </c>
      <c r="AF3">
        <f t="shared" si="2"/>
        <v>120</v>
      </c>
      <c r="AG3">
        <f t="shared" si="2"/>
        <v>120</v>
      </c>
      <c r="AH3">
        <f t="shared" si="2"/>
        <v>120</v>
      </c>
      <c r="AI3">
        <f t="shared" si="2"/>
        <v>120</v>
      </c>
      <c r="AJ3">
        <f t="shared" si="2"/>
        <v>120</v>
      </c>
      <c r="AK3">
        <f t="shared" si="2"/>
        <v>120</v>
      </c>
      <c r="AL3">
        <f t="shared" si="2"/>
        <v>120</v>
      </c>
      <c r="AM3">
        <f t="shared" si="2"/>
        <v>120</v>
      </c>
      <c r="AN3">
        <f t="shared" si="2"/>
        <v>120</v>
      </c>
      <c r="AO3">
        <f t="shared" si="2"/>
        <v>120</v>
      </c>
      <c r="AP3">
        <f t="shared" si="2"/>
        <v>120</v>
      </c>
    </row>
    <row r="6" spans="1:42" x14ac:dyDescent="0.25">
      <c r="A6" t="s">
        <v>193</v>
      </c>
      <c r="B6">
        <v>2020</v>
      </c>
      <c r="C6">
        <v>2021</v>
      </c>
      <c r="D6">
        <v>2022</v>
      </c>
      <c r="E6">
        <v>2023</v>
      </c>
      <c r="F6">
        <v>2024</v>
      </c>
      <c r="G6">
        <v>2025</v>
      </c>
      <c r="H6">
        <v>2026</v>
      </c>
      <c r="I6">
        <v>2027</v>
      </c>
      <c r="J6">
        <v>2028</v>
      </c>
      <c r="K6">
        <v>2029</v>
      </c>
      <c r="L6">
        <v>2030</v>
      </c>
      <c r="M6">
        <v>2031</v>
      </c>
      <c r="N6">
        <v>2032</v>
      </c>
      <c r="O6">
        <v>2033</v>
      </c>
      <c r="P6">
        <v>2034</v>
      </c>
      <c r="Q6">
        <v>2035</v>
      </c>
      <c r="R6">
        <v>2036</v>
      </c>
      <c r="S6">
        <v>2037</v>
      </c>
      <c r="T6">
        <v>2038</v>
      </c>
      <c r="U6">
        <v>2039</v>
      </c>
      <c r="V6">
        <v>2040</v>
      </c>
      <c r="W6">
        <v>2041</v>
      </c>
      <c r="X6">
        <v>2042</v>
      </c>
      <c r="Y6">
        <v>2043</v>
      </c>
      <c r="Z6">
        <v>2044</v>
      </c>
      <c r="AA6">
        <v>2045</v>
      </c>
      <c r="AB6">
        <v>2046</v>
      </c>
      <c r="AC6">
        <v>2047</v>
      </c>
      <c r="AD6">
        <v>2048</v>
      </c>
      <c r="AE6">
        <v>2049</v>
      </c>
      <c r="AF6">
        <v>2050</v>
      </c>
      <c r="AG6">
        <v>2051</v>
      </c>
      <c r="AH6">
        <v>2052</v>
      </c>
      <c r="AI6">
        <v>2053</v>
      </c>
      <c r="AJ6">
        <v>2054</v>
      </c>
      <c r="AK6">
        <v>2055</v>
      </c>
      <c r="AL6">
        <v>2056</v>
      </c>
      <c r="AM6">
        <v>2057</v>
      </c>
      <c r="AN6">
        <v>2058</v>
      </c>
      <c r="AO6">
        <v>2059</v>
      </c>
      <c r="AP6">
        <v>2060</v>
      </c>
    </row>
    <row r="7" spans="1:42" x14ac:dyDescent="0.25">
      <c r="B7" s="8">
        <v>0.99399999999999999</v>
      </c>
      <c r="C7" s="8">
        <v>0.99399999999999999</v>
      </c>
      <c r="D7" s="8"/>
      <c r="E7" s="8">
        <v>0.97499999999999998</v>
      </c>
      <c r="F7" s="8"/>
      <c r="G7" s="8">
        <v>0.94</v>
      </c>
      <c r="H7" s="8"/>
      <c r="I7" s="8">
        <v>0.90500000000000003</v>
      </c>
      <c r="J7" s="8"/>
      <c r="K7" s="8">
        <v>0.88500000000000001</v>
      </c>
      <c r="L7" s="8"/>
      <c r="M7" s="8">
        <v>0.85499999999999998</v>
      </c>
      <c r="N7" s="8"/>
      <c r="O7" s="8">
        <v>0.80499999999999994</v>
      </c>
      <c r="P7" s="8"/>
      <c r="Q7" s="8">
        <v>0.78100000000000003</v>
      </c>
      <c r="R7" s="8"/>
      <c r="S7" s="8"/>
      <c r="T7" s="8"/>
      <c r="U7" s="8"/>
      <c r="V7" s="8">
        <v>0.75</v>
      </c>
      <c r="W7" s="8">
        <v>0.77500000000000002</v>
      </c>
      <c r="X7" s="8">
        <v>0.77500000000000002</v>
      </c>
      <c r="Y7" s="8">
        <v>0.77500000000000002</v>
      </c>
      <c r="Z7" s="8">
        <v>0.77500000000000002</v>
      </c>
      <c r="AA7" s="8">
        <v>0.77500000000000002</v>
      </c>
      <c r="AB7" s="8">
        <v>0.77500000000000002</v>
      </c>
      <c r="AC7" s="8">
        <v>0.77500000000000002</v>
      </c>
      <c r="AD7" s="8">
        <v>0.77500000000000002</v>
      </c>
      <c r="AE7" s="8">
        <v>0.77500000000000002</v>
      </c>
      <c r="AF7" s="8">
        <v>0.77500000000000002</v>
      </c>
      <c r="AG7" s="8">
        <v>0.77500000000000002</v>
      </c>
      <c r="AH7" s="8">
        <v>0.77500000000000002</v>
      </c>
      <c r="AI7" s="8">
        <v>0.77500000000000002</v>
      </c>
      <c r="AJ7" s="8">
        <v>0.77500000000000002</v>
      </c>
      <c r="AK7" s="8">
        <v>0.77500000000000002</v>
      </c>
      <c r="AL7" s="8">
        <v>0.77500000000000002</v>
      </c>
      <c r="AM7" s="8">
        <v>0.77500000000000002</v>
      </c>
      <c r="AN7" s="8">
        <v>0.77500000000000002</v>
      </c>
      <c r="AO7" s="8">
        <v>0.77500000000000002</v>
      </c>
      <c r="AP7" s="8">
        <v>0.77500000000000002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W13"/>
  <sheetViews>
    <sheetView tabSelected="1" zoomScale="115" zoomScaleNormal="115" workbookViewId="0">
      <selection activeCell="R5" sqref="R5"/>
    </sheetView>
  </sheetViews>
  <sheetFormatPr defaultRowHeight="15" x14ac:dyDescent="0.25"/>
  <cols>
    <col min="3" max="3" width="11.28515625" bestFit="1" customWidth="1"/>
    <col min="4" max="4" width="12.28515625" bestFit="1" customWidth="1"/>
  </cols>
  <sheetData>
    <row r="2" spans="1:23" x14ac:dyDescent="0.25">
      <c r="A2" t="s">
        <v>131</v>
      </c>
    </row>
    <row r="3" spans="1:23" x14ac:dyDescent="0.25">
      <c r="C3" s="52">
        <v>2000</v>
      </c>
      <c r="D3" s="52">
        <v>2001</v>
      </c>
      <c r="E3" s="52">
        <v>2002</v>
      </c>
      <c r="F3" s="52">
        <v>2003</v>
      </c>
      <c r="G3" s="52">
        <v>2004</v>
      </c>
      <c r="H3" s="52">
        <v>2005</v>
      </c>
      <c r="I3" s="52">
        <v>2006</v>
      </c>
      <c r="J3" s="52">
        <v>2007</v>
      </c>
      <c r="K3" s="52">
        <v>2008</v>
      </c>
      <c r="L3" s="52">
        <v>2009</v>
      </c>
      <c r="M3" s="52">
        <v>2010</v>
      </c>
      <c r="N3" s="52">
        <v>2011</v>
      </c>
      <c r="O3" s="52">
        <v>2012</v>
      </c>
      <c r="P3" s="52">
        <v>2013</v>
      </c>
      <c r="Q3" s="52">
        <v>2014</v>
      </c>
      <c r="R3" s="52">
        <v>2015</v>
      </c>
      <c r="W3" t="s">
        <v>214</v>
      </c>
    </row>
    <row r="4" spans="1:23" x14ac:dyDescent="0.25">
      <c r="B4" t="s">
        <v>218</v>
      </c>
      <c r="C4">
        <v>2694000000</v>
      </c>
      <c r="D4">
        <v>2562000000</v>
      </c>
      <c r="E4">
        <v>2648000000</v>
      </c>
      <c r="F4">
        <v>3378000000</v>
      </c>
      <c r="G4">
        <v>3780000000</v>
      </c>
      <c r="H4">
        <v>4370000000</v>
      </c>
      <c r="I4">
        <v>4788000000</v>
      </c>
      <c r="J4">
        <v>5424000000</v>
      </c>
      <c r="K4">
        <v>5816000000</v>
      </c>
      <c r="L4">
        <v>6166000000</v>
      </c>
      <c r="M4">
        <v>7018000000</v>
      </c>
      <c r="N4">
        <v>7308000000</v>
      </c>
      <c r="O4">
        <v>7022000000</v>
      </c>
      <c r="P4">
        <v>6330000000</v>
      </c>
      <c r="Q4">
        <v>6274000000</v>
      </c>
      <c r="R4">
        <v>5754000000</v>
      </c>
      <c r="W4" t="s">
        <v>209</v>
      </c>
    </row>
    <row r="5" spans="1:23" x14ac:dyDescent="0.25">
      <c r="B5" t="s">
        <v>219</v>
      </c>
      <c r="J5">
        <v>24464000</v>
      </c>
      <c r="K5">
        <v>27980000</v>
      </c>
      <c r="L5">
        <v>34476000</v>
      </c>
      <c r="M5">
        <v>59330000</v>
      </c>
      <c r="N5">
        <v>94400000</v>
      </c>
      <c r="O5">
        <v>136022000</v>
      </c>
      <c r="P5">
        <v>193944000</v>
      </c>
      <c r="Q5">
        <v>248948000</v>
      </c>
      <c r="R5">
        <v>284780000</v>
      </c>
      <c r="W5" t="s">
        <v>210</v>
      </c>
    </row>
    <row r="6" spans="1:23" x14ac:dyDescent="0.25">
      <c r="B6" t="s">
        <v>220</v>
      </c>
      <c r="D6" s="53">
        <v>62464444.899999961</v>
      </c>
      <c r="E6">
        <v>75805727.400000095</v>
      </c>
      <c r="F6">
        <v>116012804.69999954</v>
      </c>
      <c r="G6">
        <v>238827082.00000066</v>
      </c>
      <c r="H6">
        <v>328676033.39999986</v>
      </c>
      <c r="I6">
        <v>339442651.60000008</v>
      </c>
      <c r="J6">
        <v>530120501.2999993</v>
      </c>
      <c r="K6">
        <v>1367244290.1000018</v>
      </c>
      <c r="L6">
        <v>1782265718.9999948</v>
      </c>
      <c r="M6">
        <v>3842845200.9999957</v>
      </c>
      <c r="N6">
        <v>7000927684.4000034</v>
      </c>
      <c r="O6">
        <v>6471064012.3999825</v>
      </c>
      <c r="P6">
        <v>7804709801.2000275</v>
      </c>
      <c r="Q6">
        <v>8439861402.7000017</v>
      </c>
      <c r="R6">
        <v>10401366950.000019</v>
      </c>
      <c r="W6" t="s">
        <v>211</v>
      </c>
    </row>
    <row r="7" spans="1:23" x14ac:dyDescent="0.25">
      <c r="B7" t="s">
        <v>208</v>
      </c>
      <c r="C7" s="53">
        <v>1492108000</v>
      </c>
      <c r="D7" s="53">
        <v>1512216000</v>
      </c>
      <c r="E7" s="53">
        <v>1532333000</v>
      </c>
      <c r="F7" s="53">
        <v>1542466000</v>
      </c>
      <c r="G7" s="53">
        <v>1572730000</v>
      </c>
      <c r="H7" s="53">
        <v>1592960000</v>
      </c>
      <c r="I7" s="53">
        <v>1613420000</v>
      </c>
      <c r="J7" s="53">
        <v>1643720000</v>
      </c>
      <c r="K7" s="53">
        <v>1663860000</v>
      </c>
      <c r="L7" s="53">
        <v>1704170000</v>
      </c>
      <c r="M7" s="53">
        <v>1735570000</v>
      </c>
      <c r="N7" s="53">
        <v>1776190000</v>
      </c>
      <c r="O7" s="53">
        <v>1776268000</v>
      </c>
      <c r="P7" s="53">
        <v>1926172000</v>
      </c>
      <c r="Q7" s="53">
        <v>1966390000</v>
      </c>
      <c r="R7" s="53">
        <v>2115600000</v>
      </c>
      <c r="W7" t="s">
        <v>212</v>
      </c>
    </row>
    <row r="8" spans="1:23" x14ac:dyDescent="0.25">
      <c r="B8" t="s">
        <v>221</v>
      </c>
      <c r="C8" s="53">
        <v>270000</v>
      </c>
      <c r="D8" s="53">
        <v>545000</v>
      </c>
      <c r="E8" s="53">
        <v>980000.00000000012</v>
      </c>
      <c r="F8" s="53">
        <v>2100000</v>
      </c>
      <c r="G8" s="53">
        <v>3300000</v>
      </c>
      <c r="H8" s="53">
        <v>4700000</v>
      </c>
      <c r="I8" s="53">
        <v>6480000</v>
      </c>
      <c r="J8" s="53">
        <v>8400000</v>
      </c>
      <c r="K8" s="53">
        <v>9255000</v>
      </c>
      <c r="L8" s="53">
        <v>12100000</v>
      </c>
      <c r="M8" s="53">
        <v>16060000</v>
      </c>
      <c r="N8" s="53">
        <v>20800000</v>
      </c>
      <c r="O8" s="53">
        <v>23140000</v>
      </c>
      <c r="P8" s="53">
        <v>20850000</v>
      </c>
      <c r="Q8" s="53">
        <v>23100000</v>
      </c>
      <c r="R8" s="53">
        <v>20900000</v>
      </c>
      <c r="W8" t="s">
        <v>213</v>
      </c>
    </row>
    <row r="13" spans="1:23" x14ac:dyDescent="0.25">
      <c r="C13" s="53"/>
      <c r="R13" s="5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99"/>
  <sheetViews>
    <sheetView topLeftCell="A46" zoomScale="66" zoomScaleNormal="85" workbookViewId="0">
      <selection activeCell="AC87" sqref="AC87"/>
    </sheetView>
  </sheetViews>
  <sheetFormatPr defaultRowHeight="15" x14ac:dyDescent="0.25"/>
  <cols>
    <col min="3" max="3" width="10.85546875" bestFit="1" customWidth="1"/>
    <col min="4" max="4" width="12.7109375" bestFit="1" customWidth="1"/>
    <col min="6" max="6" width="10.85546875" bestFit="1" customWidth="1"/>
    <col min="13" max="13" width="20.85546875" customWidth="1"/>
    <col min="18" max="18" width="11.140625" bestFit="1" customWidth="1"/>
    <col min="20" max="20" width="18.28515625" bestFit="1" customWidth="1"/>
  </cols>
  <sheetData>
    <row r="1" spans="1:13" x14ac:dyDescent="0.25">
      <c r="A1" t="s">
        <v>133</v>
      </c>
    </row>
    <row r="2" spans="1:13" x14ac:dyDescent="0.25">
      <c r="C2" t="s">
        <v>135</v>
      </c>
      <c r="D2" t="s">
        <v>136</v>
      </c>
    </row>
    <row r="3" spans="1:13" x14ac:dyDescent="0.25">
      <c r="A3" t="s">
        <v>134</v>
      </c>
      <c r="C3">
        <v>50</v>
      </c>
      <c r="D3">
        <v>5000000000</v>
      </c>
      <c r="F3" t="s">
        <v>137</v>
      </c>
    </row>
    <row r="4" spans="1:13" x14ac:dyDescent="0.25">
      <c r="A4" t="s">
        <v>138</v>
      </c>
      <c r="C4">
        <v>24</v>
      </c>
      <c r="D4">
        <v>3600000000</v>
      </c>
      <c r="F4" t="s">
        <v>139</v>
      </c>
      <c r="H4" t="s">
        <v>140</v>
      </c>
    </row>
    <row r="5" spans="1:13" x14ac:dyDescent="0.25">
      <c r="A5" t="s">
        <v>141</v>
      </c>
      <c r="C5">
        <v>65</v>
      </c>
      <c r="D5">
        <v>2800000000</v>
      </c>
      <c r="F5" t="s">
        <v>142</v>
      </c>
    </row>
    <row r="6" spans="1:13" x14ac:dyDescent="0.25">
      <c r="A6" t="s">
        <v>143</v>
      </c>
      <c r="C6">
        <v>18</v>
      </c>
      <c r="D6">
        <f>3000000000*0.64</f>
        <v>1920000000</v>
      </c>
      <c r="F6" t="s">
        <v>144</v>
      </c>
    </row>
    <row r="7" spans="1:13" x14ac:dyDescent="0.25">
      <c r="A7" t="s">
        <v>147</v>
      </c>
      <c r="C7">
        <v>50</v>
      </c>
      <c r="D7">
        <v>4600000000</v>
      </c>
      <c r="F7" s="54" t="s">
        <v>146</v>
      </c>
    </row>
    <row r="9" spans="1:13" x14ac:dyDescent="0.25">
      <c r="I9" t="s">
        <v>145</v>
      </c>
      <c r="M9" t="s">
        <v>146</v>
      </c>
    </row>
    <row r="10" spans="1:13" x14ac:dyDescent="0.25">
      <c r="C10">
        <f>(D3/C3)/1000000</f>
        <v>100</v>
      </c>
    </row>
    <row r="11" spans="1:13" x14ac:dyDescent="0.25">
      <c r="C11">
        <f t="shared" ref="C11:C14" si="0">(D4/C4)/1000000</f>
        <v>150</v>
      </c>
    </row>
    <row r="12" spans="1:13" x14ac:dyDescent="0.25">
      <c r="C12">
        <f t="shared" si="0"/>
        <v>43.07692307692308</v>
      </c>
    </row>
    <row r="13" spans="1:13" x14ac:dyDescent="0.25">
      <c r="C13">
        <f t="shared" si="0"/>
        <v>106.66666666666667</v>
      </c>
    </row>
    <row r="14" spans="1:13" x14ac:dyDescent="0.25">
      <c r="C14">
        <f t="shared" si="0"/>
        <v>92</v>
      </c>
    </row>
    <row r="17" spans="1:10" x14ac:dyDescent="0.25">
      <c r="J17" s="54" t="s">
        <v>148</v>
      </c>
    </row>
    <row r="18" spans="1:10" x14ac:dyDescent="0.25">
      <c r="J18" s="54" t="s">
        <v>149</v>
      </c>
    </row>
    <row r="19" spans="1:10" x14ac:dyDescent="0.25">
      <c r="J19" s="54" t="s">
        <v>150</v>
      </c>
    </row>
    <row r="20" spans="1:10" ht="15.6" customHeight="1" x14ac:dyDescent="0.25">
      <c r="J20" s="54" t="s">
        <v>151</v>
      </c>
    </row>
    <row r="21" spans="1:10" x14ac:dyDescent="0.25">
      <c r="A21" t="s">
        <v>154</v>
      </c>
    </row>
    <row r="22" spans="1:10" x14ac:dyDescent="0.25">
      <c r="A22" t="s">
        <v>155</v>
      </c>
    </row>
    <row r="23" spans="1:10" x14ac:dyDescent="0.25">
      <c r="A23" t="s">
        <v>156</v>
      </c>
    </row>
    <row r="24" spans="1:10" x14ac:dyDescent="0.25">
      <c r="B24" t="s">
        <v>157</v>
      </c>
      <c r="C24" t="s">
        <v>158</v>
      </c>
      <c r="F24" t="s">
        <v>159</v>
      </c>
      <c r="H24" t="s">
        <v>160</v>
      </c>
    </row>
    <row r="25" spans="1:10" x14ac:dyDescent="0.25">
      <c r="A25">
        <v>2010</v>
      </c>
      <c r="B25">
        <v>0.624</v>
      </c>
      <c r="C25">
        <v>0.48</v>
      </c>
      <c r="F25">
        <v>480</v>
      </c>
      <c r="H25">
        <v>480000000</v>
      </c>
      <c r="J25">
        <f>H25/1000000</f>
        <v>480</v>
      </c>
    </row>
    <row r="26" spans="1:10" x14ac:dyDescent="0.25">
      <c r="A26">
        <v>2011</v>
      </c>
      <c r="B26">
        <v>0.317</v>
      </c>
      <c r="C26">
        <v>0.28999999999999998</v>
      </c>
      <c r="F26">
        <v>290</v>
      </c>
      <c r="H26">
        <v>290000000</v>
      </c>
      <c r="J26">
        <f>H26/1000000</f>
        <v>290</v>
      </c>
    </row>
    <row r="27" spans="1:10" x14ac:dyDescent="0.25">
      <c r="A27">
        <v>2012</v>
      </c>
      <c r="B27">
        <v>0.153</v>
      </c>
      <c r="C27">
        <v>0.21</v>
      </c>
      <c r="F27">
        <v>210</v>
      </c>
      <c r="H27">
        <v>210000000</v>
      </c>
      <c r="J27">
        <f>H27/1000000</f>
        <v>210</v>
      </c>
    </row>
    <row r="28" spans="1:10" x14ac:dyDescent="0.25">
      <c r="A28">
        <v>2013</v>
      </c>
      <c r="B28">
        <v>0.114</v>
      </c>
    </row>
    <row r="29" spans="1:10" x14ac:dyDescent="0.25">
      <c r="A29">
        <v>2014</v>
      </c>
      <c r="B29">
        <v>9.4E-2</v>
      </c>
      <c r="C29">
        <v>0.15</v>
      </c>
      <c r="F29">
        <v>150</v>
      </c>
      <c r="H29">
        <v>150000000</v>
      </c>
      <c r="J29">
        <f>H29/1000000</f>
        <v>150</v>
      </c>
    </row>
    <row r="30" spans="1:10" x14ac:dyDescent="0.25">
      <c r="A30">
        <v>2015</v>
      </c>
      <c r="B30">
        <v>0.23400000000000001</v>
      </c>
    </row>
    <row r="31" spans="1:10" x14ac:dyDescent="0.25">
      <c r="A31">
        <v>2016</v>
      </c>
      <c r="B31">
        <v>0.19500000000000001</v>
      </c>
    </row>
    <row r="32" spans="1:10" x14ac:dyDescent="0.25">
      <c r="A32">
        <v>2017</v>
      </c>
      <c r="B32">
        <v>7.8E-2</v>
      </c>
    </row>
    <row r="33" spans="1:8" x14ac:dyDescent="0.25">
      <c r="A33">
        <v>2018</v>
      </c>
      <c r="B33">
        <v>0.14199999999999999</v>
      </c>
    </row>
    <row r="34" spans="1:8" x14ac:dyDescent="0.25">
      <c r="A34">
        <v>2019</v>
      </c>
      <c r="B34">
        <v>7.0000000000000007E-2</v>
      </c>
      <c r="C34">
        <v>0.09</v>
      </c>
      <c r="F34">
        <v>90</v>
      </c>
      <c r="H34">
        <v>90000000</v>
      </c>
    </row>
    <row r="40" spans="1:8" x14ac:dyDescent="0.25">
      <c r="B40" t="s">
        <v>160</v>
      </c>
    </row>
    <row r="41" spans="1:8" x14ac:dyDescent="0.25">
      <c r="A41" t="s">
        <v>161</v>
      </c>
      <c r="B41">
        <f>H34</f>
        <v>90000000</v>
      </c>
    </row>
    <row r="42" spans="1:8" x14ac:dyDescent="0.25">
      <c r="A42" t="str">
        <f>A3</f>
        <v>Gigafactory 1</v>
      </c>
      <c r="B42">
        <f>D3/(C3*10)</f>
        <v>10000000</v>
      </c>
    </row>
    <row r="43" spans="1:8" x14ac:dyDescent="0.25">
      <c r="A43" t="str">
        <f>A4</f>
        <v>Northvolt</v>
      </c>
      <c r="B43">
        <f>D4/(C4*10)</f>
        <v>15000000</v>
      </c>
    </row>
    <row r="44" spans="1:8" x14ac:dyDescent="0.25">
      <c r="A44" t="str">
        <f>A5</f>
        <v>LG Chem Wroclaw</v>
      </c>
      <c r="B44">
        <f>D5/(C5*10)</f>
        <v>4307692.307692308</v>
      </c>
    </row>
    <row r="45" spans="1:8" x14ac:dyDescent="0.25">
      <c r="A45" t="str">
        <f>A6</f>
        <v>Imperium3 Townsville</v>
      </c>
      <c r="B45">
        <f>D6/(C6*10)</f>
        <v>10666666.666666666</v>
      </c>
    </row>
    <row r="46" spans="1:8" x14ac:dyDescent="0.25">
      <c r="A46" t="str">
        <f>A7</f>
        <v>Study on CAPEX</v>
      </c>
      <c r="B46">
        <f>D7/(C7*10)</f>
        <v>9200000</v>
      </c>
    </row>
    <row r="50" spans="1:46" x14ac:dyDescent="0.25">
      <c r="B50" t="s">
        <v>164</v>
      </c>
    </row>
    <row r="53" spans="1:46" x14ac:dyDescent="0.25">
      <c r="B53" s="1">
        <v>2016</v>
      </c>
      <c r="C53" s="1">
        <f>B53+1</f>
        <v>2017</v>
      </c>
      <c r="D53" s="1">
        <f t="shared" ref="D53:AJ53" si="1">C53+1</f>
        <v>2018</v>
      </c>
      <c r="E53" s="1">
        <f t="shared" si="1"/>
        <v>2019</v>
      </c>
      <c r="F53" s="1">
        <f t="shared" si="1"/>
        <v>2020</v>
      </c>
      <c r="G53" s="1">
        <f t="shared" si="1"/>
        <v>2021</v>
      </c>
      <c r="H53" s="1">
        <f t="shared" si="1"/>
        <v>2022</v>
      </c>
      <c r="I53" s="1">
        <f t="shared" si="1"/>
        <v>2023</v>
      </c>
      <c r="J53" s="1">
        <f t="shared" si="1"/>
        <v>2024</v>
      </c>
      <c r="K53" s="1">
        <f t="shared" si="1"/>
        <v>2025</v>
      </c>
      <c r="L53" s="1">
        <f>K53+1</f>
        <v>2026</v>
      </c>
      <c r="M53" s="1">
        <f t="shared" si="1"/>
        <v>2027</v>
      </c>
      <c r="N53" s="1">
        <f t="shared" si="1"/>
        <v>2028</v>
      </c>
      <c r="O53" s="1">
        <f>N53+1</f>
        <v>2029</v>
      </c>
      <c r="P53" s="1">
        <f t="shared" si="1"/>
        <v>2030</v>
      </c>
      <c r="Q53" s="1">
        <f t="shared" si="1"/>
        <v>2031</v>
      </c>
      <c r="R53" s="1">
        <f t="shared" si="1"/>
        <v>2032</v>
      </c>
      <c r="S53" s="1">
        <f t="shared" si="1"/>
        <v>2033</v>
      </c>
      <c r="T53" s="1">
        <f t="shared" si="1"/>
        <v>2034</v>
      </c>
      <c r="U53" s="1">
        <f t="shared" si="1"/>
        <v>2035</v>
      </c>
      <c r="V53" s="1">
        <f t="shared" si="1"/>
        <v>2036</v>
      </c>
      <c r="W53" s="1">
        <f t="shared" si="1"/>
        <v>2037</v>
      </c>
      <c r="X53" s="1">
        <f t="shared" si="1"/>
        <v>2038</v>
      </c>
      <c r="Y53" s="1">
        <f t="shared" si="1"/>
        <v>2039</v>
      </c>
      <c r="Z53" s="1">
        <f t="shared" si="1"/>
        <v>2040</v>
      </c>
      <c r="AA53" s="1">
        <f t="shared" si="1"/>
        <v>2041</v>
      </c>
      <c r="AB53" s="1">
        <f t="shared" si="1"/>
        <v>2042</v>
      </c>
      <c r="AC53" s="1">
        <f t="shared" si="1"/>
        <v>2043</v>
      </c>
      <c r="AD53" s="1">
        <f t="shared" si="1"/>
        <v>2044</v>
      </c>
      <c r="AE53" s="1">
        <f t="shared" si="1"/>
        <v>2045</v>
      </c>
      <c r="AF53" s="1">
        <f t="shared" si="1"/>
        <v>2046</v>
      </c>
      <c r="AG53" s="1">
        <f t="shared" si="1"/>
        <v>2047</v>
      </c>
      <c r="AH53" s="1">
        <f t="shared" si="1"/>
        <v>2048</v>
      </c>
      <c r="AI53" s="1">
        <f t="shared" si="1"/>
        <v>2049</v>
      </c>
      <c r="AJ53" s="1">
        <f t="shared" si="1"/>
        <v>2050</v>
      </c>
      <c r="AK53" s="1">
        <f t="shared" ref="AK53:AR53" si="2">AJ53+1</f>
        <v>2051</v>
      </c>
      <c r="AL53" s="1">
        <f t="shared" si="2"/>
        <v>2052</v>
      </c>
      <c r="AM53" s="1">
        <f t="shared" si="2"/>
        <v>2053</v>
      </c>
      <c r="AN53" s="1">
        <f t="shared" si="2"/>
        <v>2054</v>
      </c>
      <c r="AO53" s="1">
        <f t="shared" si="2"/>
        <v>2055</v>
      </c>
      <c r="AP53" s="1">
        <f t="shared" si="2"/>
        <v>2056</v>
      </c>
      <c r="AQ53" s="1">
        <f t="shared" si="2"/>
        <v>2057</v>
      </c>
      <c r="AR53" s="1">
        <f t="shared" si="2"/>
        <v>2058</v>
      </c>
      <c r="AS53" s="1">
        <f t="shared" ref="AS53:AT53" si="3">AR53+1</f>
        <v>2059</v>
      </c>
      <c r="AT53" s="1">
        <f t="shared" si="3"/>
        <v>2060</v>
      </c>
    </row>
    <row r="54" spans="1:46" x14ac:dyDescent="0.25">
      <c r="B54">
        <v>281</v>
      </c>
      <c r="C54">
        <v>214</v>
      </c>
      <c r="D54">
        <v>173</v>
      </c>
      <c r="E54">
        <v>155</v>
      </c>
      <c r="F54">
        <v>140</v>
      </c>
      <c r="G54">
        <v>120</v>
      </c>
      <c r="H54">
        <v>113</v>
      </c>
      <c r="I54">
        <v>102</v>
      </c>
      <c r="J54">
        <v>92</v>
      </c>
      <c r="K54">
        <v>85</v>
      </c>
      <c r="L54">
        <v>79</v>
      </c>
      <c r="M54">
        <v>73</v>
      </c>
      <c r="N54">
        <v>68</v>
      </c>
      <c r="O54">
        <v>64</v>
      </c>
      <c r="P54">
        <v>58.5</v>
      </c>
      <c r="Z54">
        <f>P54/$P$57</f>
        <v>24.444642857142856</v>
      </c>
      <c r="AA54">
        <f>Z54</f>
        <v>24.444642857142856</v>
      </c>
      <c r="AB54">
        <f t="shared" ref="AB54:AT54" si="4">AA54</f>
        <v>24.444642857142856</v>
      </c>
      <c r="AC54">
        <f t="shared" si="4"/>
        <v>24.444642857142856</v>
      </c>
      <c r="AD54">
        <f t="shared" si="4"/>
        <v>24.444642857142856</v>
      </c>
      <c r="AE54">
        <f t="shared" si="4"/>
        <v>24.444642857142856</v>
      </c>
      <c r="AF54">
        <f t="shared" si="4"/>
        <v>24.444642857142856</v>
      </c>
      <c r="AG54">
        <f t="shared" si="4"/>
        <v>24.444642857142856</v>
      </c>
      <c r="AH54">
        <f t="shared" si="4"/>
        <v>24.444642857142856</v>
      </c>
      <c r="AI54">
        <f t="shared" si="4"/>
        <v>24.444642857142856</v>
      </c>
      <c r="AJ54">
        <f t="shared" si="4"/>
        <v>24.444642857142856</v>
      </c>
      <c r="AK54">
        <f t="shared" si="4"/>
        <v>24.444642857142856</v>
      </c>
      <c r="AL54">
        <f t="shared" si="4"/>
        <v>24.444642857142856</v>
      </c>
      <c r="AM54">
        <f t="shared" si="4"/>
        <v>24.444642857142856</v>
      </c>
      <c r="AN54">
        <f t="shared" si="4"/>
        <v>24.444642857142856</v>
      </c>
      <c r="AO54">
        <f t="shared" si="4"/>
        <v>24.444642857142856</v>
      </c>
      <c r="AP54">
        <f t="shared" si="4"/>
        <v>24.444642857142856</v>
      </c>
      <c r="AQ54">
        <f t="shared" si="4"/>
        <v>24.444642857142856</v>
      </c>
      <c r="AR54">
        <f t="shared" si="4"/>
        <v>24.444642857142856</v>
      </c>
      <c r="AS54">
        <f t="shared" si="4"/>
        <v>24.444642857142856</v>
      </c>
      <c r="AT54">
        <f t="shared" si="4"/>
        <v>24.444642857142856</v>
      </c>
    </row>
    <row r="56" spans="1:46" x14ac:dyDescent="0.25">
      <c r="D56" t="s">
        <v>190</v>
      </c>
      <c r="E56">
        <f>H34/1000000</f>
        <v>90</v>
      </c>
    </row>
    <row r="57" spans="1:46" x14ac:dyDescent="0.25">
      <c r="P57">
        <f>F54/P54</f>
        <v>2.3931623931623931</v>
      </c>
    </row>
    <row r="58" spans="1:46" x14ac:dyDescent="0.25">
      <c r="D58" t="s">
        <v>191</v>
      </c>
      <c r="E58">
        <v>120</v>
      </c>
    </row>
    <row r="61" spans="1:46" x14ac:dyDescent="0.25">
      <c r="A61" s="1" t="s">
        <v>165</v>
      </c>
      <c r="U61">
        <f>(40000*1000)/(223.5*1000000)</f>
        <v>0.17897091722595079</v>
      </c>
    </row>
    <row r="63" spans="1:46" x14ac:dyDescent="0.25">
      <c r="D63" t="s">
        <v>166</v>
      </c>
      <c r="E63" t="s">
        <v>167</v>
      </c>
      <c r="F63" t="s">
        <v>177</v>
      </c>
      <c r="I63" t="s">
        <v>176</v>
      </c>
    </row>
    <row r="65" spans="1:24" x14ac:dyDescent="0.25">
      <c r="A65" s="1" t="s">
        <v>178</v>
      </c>
      <c r="C65" t="s">
        <v>134</v>
      </c>
      <c r="D65">
        <v>275</v>
      </c>
      <c r="E65">
        <v>5</v>
      </c>
      <c r="F65">
        <v>2023</v>
      </c>
      <c r="I65" s="39">
        <f t="shared" ref="I65:I70" si="5">D65/E65</f>
        <v>55</v>
      </c>
    </row>
    <row r="66" spans="1:24" x14ac:dyDescent="0.25">
      <c r="C66" t="s">
        <v>169</v>
      </c>
      <c r="D66">
        <v>310</v>
      </c>
      <c r="E66">
        <v>8</v>
      </c>
      <c r="F66">
        <v>2024</v>
      </c>
      <c r="I66" s="39">
        <f t="shared" si="5"/>
        <v>38.75</v>
      </c>
    </row>
    <row r="67" spans="1:24" x14ac:dyDescent="0.25">
      <c r="C67" t="s">
        <v>171</v>
      </c>
      <c r="D67">
        <v>380</v>
      </c>
      <c r="E67">
        <v>11</v>
      </c>
      <c r="F67">
        <v>2025</v>
      </c>
      <c r="I67" s="39">
        <f t="shared" si="5"/>
        <v>34.545454545454547</v>
      </c>
    </row>
    <row r="68" spans="1:24" x14ac:dyDescent="0.25">
      <c r="C68" t="s">
        <v>172</v>
      </c>
      <c r="D68">
        <v>380</v>
      </c>
      <c r="E68">
        <v>11</v>
      </c>
      <c r="F68">
        <v>2025</v>
      </c>
      <c r="I68" s="39">
        <f t="shared" si="5"/>
        <v>34.545454545454547</v>
      </c>
    </row>
    <row r="69" spans="1:24" x14ac:dyDescent="0.25">
      <c r="C69" t="s">
        <v>173</v>
      </c>
      <c r="D69">
        <v>775</v>
      </c>
      <c r="E69">
        <v>16</v>
      </c>
      <c r="F69">
        <v>2026</v>
      </c>
      <c r="I69" s="39">
        <f t="shared" si="5"/>
        <v>48.4375</v>
      </c>
    </row>
    <row r="70" spans="1:24" x14ac:dyDescent="0.25">
      <c r="C70" t="s">
        <v>175</v>
      </c>
      <c r="D70">
        <v>775</v>
      </c>
      <c r="E70">
        <v>16</v>
      </c>
      <c r="F70">
        <v>2028</v>
      </c>
      <c r="I70" s="39">
        <f t="shared" si="5"/>
        <v>48.4375</v>
      </c>
    </row>
    <row r="74" spans="1:24" x14ac:dyDescent="0.25">
      <c r="C74" t="s">
        <v>170</v>
      </c>
      <c r="D74">
        <v>565</v>
      </c>
      <c r="E74">
        <v>9</v>
      </c>
      <c r="F74">
        <v>2024</v>
      </c>
      <c r="I74" s="39">
        <f>D74/E74</f>
        <v>62.777777777777779</v>
      </c>
    </row>
    <row r="76" spans="1:24" x14ac:dyDescent="0.25">
      <c r="C76" t="s">
        <v>174</v>
      </c>
      <c r="D76">
        <v>565</v>
      </c>
      <c r="E76">
        <v>8</v>
      </c>
      <c r="F76">
        <v>2027</v>
      </c>
      <c r="I76" s="39">
        <f>D76/E76</f>
        <v>70.625</v>
      </c>
    </row>
    <row r="78" spans="1:24" x14ac:dyDescent="0.25">
      <c r="C78" t="s">
        <v>168</v>
      </c>
      <c r="D78">
        <v>35</v>
      </c>
      <c r="E78">
        <v>0.2</v>
      </c>
      <c r="F78">
        <v>2022</v>
      </c>
      <c r="I78" s="39">
        <f>D78/E78</f>
        <v>175</v>
      </c>
    </row>
    <row r="79" spans="1:24" x14ac:dyDescent="0.25">
      <c r="M79" s="1" t="s">
        <v>186</v>
      </c>
      <c r="V79" s="1" t="s">
        <v>188</v>
      </c>
      <c r="X79" t="s">
        <v>189</v>
      </c>
    </row>
    <row r="80" spans="1:24" x14ac:dyDescent="0.25">
      <c r="M80" t="s">
        <v>182</v>
      </c>
      <c r="N80" t="s">
        <v>183</v>
      </c>
      <c r="O80" t="s">
        <v>184</v>
      </c>
      <c r="P80" t="s">
        <v>185</v>
      </c>
      <c r="R80" s="1" t="s">
        <v>187</v>
      </c>
      <c r="T80" s="1" t="s">
        <v>186</v>
      </c>
    </row>
    <row r="81" spans="1:28" x14ac:dyDescent="0.25">
      <c r="A81" s="1" t="s">
        <v>180</v>
      </c>
      <c r="C81" t="s">
        <v>181</v>
      </c>
      <c r="D81">
        <v>3822</v>
      </c>
      <c r="E81">
        <v>32</v>
      </c>
      <c r="I81">
        <f>D81/E81</f>
        <v>119.4375</v>
      </c>
      <c r="M81">
        <v>161</v>
      </c>
      <c r="N81">
        <v>126</v>
      </c>
      <c r="O81">
        <v>143</v>
      </c>
      <c r="P81">
        <v>2777</v>
      </c>
      <c r="R81">
        <f>SUM(M81:P81)</f>
        <v>3207</v>
      </c>
      <c r="T81">
        <f>R81/32</f>
        <v>100.21875</v>
      </c>
      <c r="V81">
        <v>2526</v>
      </c>
      <c r="X81">
        <f>V81/32</f>
        <v>78.9375</v>
      </c>
    </row>
    <row r="83" spans="1:28" x14ac:dyDescent="0.25">
      <c r="U83" t="s">
        <v>179</v>
      </c>
      <c r="V83">
        <v>7000</v>
      </c>
      <c r="X83">
        <f>V83/35</f>
        <v>200</v>
      </c>
    </row>
    <row r="84" spans="1:28" x14ac:dyDescent="0.25">
      <c r="Z84">
        <f>MEDIAN(X83,X85)</f>
        <v>155.55555555555554</v>
      </c>
    </row>
    <row r="85" spans="1:28" x14ac:dyDescent="0.25">
      <c r="U85" t="s">
        <v>192</v>
      </c>
      <c r="V85">
        <v>2000</v>
      </c>
      <c r="X85">
        <f>V85/18</f>
        <v>111.11111111111111</v>
      </c>
    </row>
    <row r="87" spans="1:28" x14ac:dyDescent="0.25">
      <c r="T87" t="s">
        <v>196</v>
      </c>
      <c r="U87" t="s">
        <v>198</v>
      </c>
      <c r="V87">
        <v>26000</v>
      </c>
      <c r="X87">
        <f>V87/U88</f>
        <v>200</v>
      </c>
      <c r="AB87" t="s">
        <v>197</v>
      </c>
    </row>
    <row r="88" spans="1:28" x14ac:dyDescent="0.25">
      <c r="T88" t="s">
        <v>199</v>
      </c>
      <c r="U88">
        <v>130</v>
      </c>
    </row>
    <row r="90" spans="1:28" x14ac:dyDescent="0.25">
      <c r="T90" t="s">
        <v>200</v>
      </c>
      <c r="V90">
        <v>2500</v>
      </c>
      <c r="X90">
        <f>V90/32</f>
        <v>78.125</v>
      </c>
    </row>
    <row r="91" spans="1:28" x14ac:dyDescent="0.25">
      <c r="T91" t="s">
        <v>201</v>
      </c>
    </row>
    <row r="92" spans="1:28" x14ac:dyDescent="0.25">
      <c r="T92" t="s">
        <v>202</v>
      </c>
      <c r="V92">
        <v>1300</v>
      </c>
      <c r="X92">
        <f>V92/13</f>
        <v>100</v>
      </c>
    </row>
    <row r="93" spans="1:28" x14ac:dyDescent="0.25">
      <c r="T93" t="s">
        <v>203</v>
      </c>
      <c r="V93">
        <v>500</v>
      </c>
      <c r="X93">
        <f>V93/2.5</f>
        <v>200</v>
      </c>
    </row>
    <row r="94" spans="1:28" x14ac:dyDescent="0.25">
      <c r="T94" t="s">
        <v>138</v>
      </c>
      <c r="V94">
        <v>3000</v>
      </c>
      <c r="X94">
        <f>3000/32</f>
        <v>93.75</v>
      </c>
    </row>
    <row r="95" spans="1:28" x14ac:dyDescent="0.25">
      <c r="T95" t="s">
        <v>204</v>
      </c>
      <c r="V95">
        <v>400</v>
      </c>
      <c r="X95">
        <f>V95/8</f>
        <v>50</v>
      </c>
    </row>
    <row r="96" spans="1:28" x14ac:dyDescent="0.25">
      <c r="T96" t="s">
        <v>205</v>
      </c>
      <c r="V96">
        <v>2000</v>
      </c>
      <c r="X96">
        <f>V96/15</f>
        <v>133.33333333333334</v>
      </c>
    </row>
    <row r="97" spans="20:24" x14ac:dyDescent="0.25">
      <c r="T97" t="s">
        <v>206</v>
      </c>
      <c r="V97">
        <v>9000</v>
      </c>
      <c r="X97">
        <f>V97/150</f>
        <v>60</v>
      </c>
    </row>
    <row r="99" spans="20:24" x14ac:dyDescent="0.25">
      <c r="X99">
        <f>AVERAGE(X81:X97)</f>
        <v>118.65972222222221</v>
      </c>
    </row>
  </sheetData>
  <hyperlinks>
    <hyperlink ref="J17" r:id="rId1" xr:uid="{00000000-0004-0000-0700-000000000000}"/>
    <hyperlink ref="J18" r:id="rId2" xr:uid="{00000000-0004-0000-0700-000001000000}"/>
    <hyperlink ref="J19" r:id="rId3" xr:uid="{00000000-0004-0000-0700-000002000000}"/>
    <hyperlink ref="J20" r:id="rId4" xr:uid="{00000000-0004-0000-0700-000003000000}"/>
    <hyperlink ref="F7" r:id="rId5" xr:uid="{00000000-0004-0000-0700-000004000000}"/>
  </hyperlinks>
  <pageMargins left="0.7" right="0.7" top="0.75" bottom="0.75" header="0.3" footer="0.3"/>
  <pageSetup orientation="portrait" r:id="rId6"/>
  <drawing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R9"/>
  <sheetViews>
    <sheetView zoomScale="115" zoomScaleNormal="115" workbookViewId="0">
      <selection activeCell="M45" sqref="M45"/>
    </sheetView>
  </sheetViews>
  <sheetFormatPr defaultRowHeight="15" x14ac:dyDescent="0.25"/>
  <cols>
    <col min="2" max="2" width="14.140625" customWidth="1"/>
    <col min="4" max="4" width="19.28515625" customWidth="1"/>
    <col min="5" max="5" width="9.85546875" bestFit="1" customWidth="1"/>
  </cols>
  <sheetData>
    <row r="4" spans="2:18" x14ac:dyDescent="0.25">
      <c r="B4" s="1" t="s">
        <v>132</v>
      </c>
    </row>
    <row r="5" spans="2:18" x14ac:dyDescent="0.25">
      <c r="C5" s="1">
        <v>2015</v>
      </c>
      <c r="D5" s="1">
        <f t="shared" ref="D5:R5" si="0">C5+1</f>
        <v>2016</v>
      </c>
      <c r="E5" s="1">
        <f t="shared" si="0"/>
        <v>2017</v>
      </c>
      <c r="F5" s="1">
        <f t="shared" si="0"/>
        <v>2018</v>
      </c>
      <c r="G5" s="1">
        <f t="shared" si="0"/>
        <v>2019</v>
      </c>
      <c r="H5" s="1">
        <f t="shared" si="0"/>
        <v>2020</v>
      </c>
      <c r="I5" s="1">
        <f t="shared" si="0"/>
        <v>2021</v>
      </c>
      <c r="J5" s="1">
        <f t="shared" si="0"/>
        <v>2022</v>
      </c>
      <c r="K5" s="1">
        <f t="shared" si="0"/>
        <v>2023</v>
      </c>
      <c r="L5" s="1">
        <f t="shared" si="0"/>
        <v>2024</v>
      </c>
      <c r="M5" s="1">
        <f t="shared" si="0"/>
        <v>2025</v>
      </c>
      <c r="N5" s="1">
        <f t="shared" si="0"/>
        <v>2026</v>
      </c>
      <c r="O5" s="1">
        <f t="shared" si="0"/>
        <v>2027</v>
      </c>
      <c r="P5" s="1">
        <f t="shared" si="0"/>
        <v>2028</v>
      </c>
      <c r="Q5" s="1">
        <f t="shared" si="0"/>
        <v>2029</v>
      </c>
      <c r="R5" s="1">
        <f t="shared" si="0"/>
        <v>2030</v>
      </c>
    </row>
    <row r="6" spans="2:18" x14ac:dyDescent="0.25">
      <c r="B6" t="s">
        <v>152</v>
      </c>
      <c r="C6">
        <v>96</v>
      </c>
      <c r="D6">
        <v>96</v>
      </c>
      <c r="E6">
        <v>156</v>
      </c>
      <c r="F6">
        <v>290</v>
      </c>
      <c r="G6">
        <v>455</v>
      </c>
      <c r="H6">
        <v>640</v>
      </c>
      <c r="I6">
        <v>785</v>
      </c>
      <c r="J6">
        <v>1060</v>
      </c>
      <c r="K6">
        <v>1250</v>
      </c>
      <c r="L6">
        <v>1450</v>
      </c>
      <c r="M6">
        <v>1630</v>
      </c>
      <c r="N6">
        <v>1800</v>
      </c>
      <c r="O6">
        <v>1950</v>
      </c>
      <c r="P6">
        <v>2050</v>
      </c>
      <c r="Q6">
        <v>2200</v>
      </c>
      <c r="R6">
        <v>2582</v>
      </c>
    </row>
    <row r="7" spans="2:18" x14ac:dyDescent="0.25">
      <c r="B7" t="s">
        <v>36</v>
      </c>
      <c r="F7">
        <v>124</v>
      </c>
      <c r="M7">
        <v>793.5</v>
      </c>
    </row>
    <row r="8" spans="2:18" x14ac:dyDescent="0.25">
      <c r="B8" t="s">
        <v>228</v>
      </c>
      <c r="H8">
        <v>725</v>
      </c>
      <c r="M8">
        <v>1000</v>
      </c>
      <c r="R8">
        <v>1500</v>
      </c>
    </row>
    <row r="9" spans="2:18" x14ac:dyDescent="0.25">
      <c r="B9" t="s">
        <v>207</v>
      </c>
      <c r="H9">
        <v>245</v>
      </c>
      <c r="I9">
        <v>343</v>
      </c>
      <c r="J9">
        <v>530</v>
      </c>
      <c r="K9">
        <v>677</v>
      </c>
      <c r="L9">
        <v>740</v>
      </c>
      <c r="M9">
        <v>1000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1E460AF58AE884FBDAFE5F0BC8A3C26" ma:contentTypeVersion="13" ma:contentTypeDescription="Create a new document." ma:contentTypeScope="" ma:versionID="880aabc0518a0ac9df850906ef26756d">
  <xsd:schema xmlns:xsd="http://www.w3.org/2001/XMLSchema" xmlns:xs="http://www.w3.org/2001/XMLSchema" xmlns:p="http://schemas.microsoft.com/office/2006/metadata/properties" xmlns:ns3="6ccfbfb3-c687-46c4-b522-0c2663e8cb99" xmlns:ns4="980b4d08-f6c4-45be-a157-5b38f890fa41" targetNamespace="http://schemas.microsoft.com/office/2006/metadata/properties" ma:root="true" ma:fieldsID="3d6f96f3db87ad2e8c33f938e7abbbca" ns3:_="" ns4:_="">
    <xsd:import namespace="6ccfbfb3-c687-46c4-b522-0c2663e8cb99"/>
    <xsd:import namespace="980b4d08-f6c4-45be-a157-5b38f890fa4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OCR" minOccurs="0"/>
                <xsd:element ref="ns4:SharedWithUsers" minOccurs="0"/>
                <xsd:element ref="ns4:SharedWithDetails" minOccurs="0"/>
                <xsd:element ref="ns4:SharingHintHash"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cfbfb3-c687-46c4-b522-0c2663e8cb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0b4d08-f6c4-45be-a157-5b38f890fa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772E26-F2EA-4DBB-A9C9-CCFDF38A2BA9}">
  <ds:schemaRefs>
    <ds:schemaRef ds:uri="http://schemas.microsoft.com/sharepoint/v3/contenttype/forms"/>
  </ds:schemaRefs>
</ds:datastoreItem>
</file>

<file path=customXml/itemProps2.xml><?xml version="1.0" encoding="utf-8"?>
<ds:datastoreItem xmlns:ds="http://schemas.openxmlformats.org/officeDocument/2006/customXml" ds:itemID="{0A176511-BC92-43A2-933C-AC6330DE2C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cfbfb3-c687-46c4-b522-0c2663e8cb99"/>
    <ds:schemaRef ds:uri="980b4d08-f6c4-45be-a157-5b38f890fa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96374D-9F40-46F3-95B3-0698EE8CD9C4}">
  <ds:schemaRefs>
    <ds:schemaRef ds:uri="6ccfbfb3-c687-46c4-b522-0c2663e8cb99"/>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980b4d08-f6c4-45be-a157-5b38f890fa4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Chemistries_scenario</vt:lpstr>
      <vt:lpstr>Battery_size</vt:lpstr>
      <vt:lpstr>Material composition</vt:lpstr>
      <vt:lpstr>Calculations_cells</vt:lpstr>
      <vt:lpstr>BEV_data</vt:lpstr>
      <vt:lpstr>Employment and automation</vt:lpstr>
      <vt:lpstr>Other_industries_mat demand</vt:lpstr>
      <vt:lpstr>CAPEX</vt:lpstr>
      <vt:lpstr>Production capacity</vt:lpstr>
      <vt:lpstr>LIBs forecast from literature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Lorenzo Usai</dc:creator>
  <cp:keywords/>
  <dc:description/>
  <cp:lastModifiedBy>Lorenzo Usai</cp:lastModifiedBy>
  <cp:revision/>
  <dcterms:created xsi:type="dcterms:W3CDTF">2020-10-02T14:42:23Z</dcterms:created>
  <dcterms:modified xsi:type="dcterms:W3CDTF">2021-12-17T15:16:05Z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0x01010011E460AF58AE884FBDAFE5F0BC8A3C26</vt:lpwstr>
  </property>
</Properties>
</file>