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tables/table2.xml" ContentType="application/vnd.openxmlformats-officedocument.spreadsheetml.tab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indecol\USERS\Lorenzo\message_ix\inputs\"/>
    </mc:Choice>
  </mc:AlternateContent>
  <xr:revisionPtr revIDLastSave="0" documentId="13_ncr:1_{EDC3401E-B716-435C-8571-1656ED573664}" xr6:coauthVersionLast="47" xr6:coauthVersionMax="47" xr10:uidLastSave="{00000000-0000-0000-0000-000000000000}"/>
  <bookViews>
    <workbookView xWindow="-120" yWindow="-120" windowWidth="38640" windowHeight="21120" firstSheet="3" activeTab="13" xr2:uid="{DA3A67DD-5DA4-4FB2-AA79-4D85207C31F8}"/>
  </bookViews>
  <sheets>
    <sheet name="Flow diagram" sheetId="20" state="hidden" r:id="rId1"/>
    <sheet name="Graphite" sheetId="18" state="hidden" r:id="rId2"/>
    <sheet name="Calculations_caps" sheetId="38" r:id="rId3"/>
    <sheet name="Calculations anode_cathode" sheetId="39" r:id="rId4"/>
    <sheet name="Capacities" sheetId="26" r:id="rId5"/>
    <sheet name="Global_caps" sheetId="31" state="hidden" r:id="rId6"/>
    <sheet name="Regions_share" sheetId="32" state="hidden" r:id="rId7"/>
    <sheet name="demand" sheetId="29" state="hidden" r:id="rId8"/>
    <sheet name="battery demand_mine" sheetId="30" state="hidden" r:id="rId9"/>
    <sheet name="var_costs" sheetId="21" state="hidden" r:id="rId10"/>
    <sheet name="timeseries_graphite2" sheetId="19" state="hidden" r:id="rId11"/>
    <sheet name="timeseries_graphite" sheetId="22" state="hidden" r:id="rId12"/>
    <sheet name="timeseries_batts" sheetId="25" state="hidden" r:id="rId13"/>
    <sheet name="resource_cost" sheetId="40" r:id="rId14"/>
    <sheet name="resource_volume" sheetId="37" r:id="rId15"/>
    <sheet name="Graphite_format" sheetId="24" r:id="rId16"/>
    <sheet name="import_exports" sheetId="34" r:id="rId17"/>
    <sheet name="GLB_trade" sheetId="36" r:id="rId18"/>
    <sheet name="TODO" sheetId="28" r:id="rId19"/>
    <sheet name="Sanity check_energy density" sheetId="27" state="hidden" r:id="rId20"/>
  </sheets>
  <externalReferences>
    <externalReference r:id="rId21"/>
    <externalReference r:id="rId22"/>
  </externalReferences>
  <definedNames>
    <definedName name="_xlnm._FilterDatabase" localSheetId="4" hidden="1">Capacities!$A$1:$G$381</definedName>
    <definedName name="_xlnm._FilterDatabase" localSheetId="16" hidden="1">import_exports!$A$1:$I$1</definedName>
    <definedName name="_xlnm._FilterDatabase" localSheetId="10" hidden="1">timeseries_graphite2!$A$1:$Y$68</definedName>
    <definedName name="List2">[1]Sheet2!$A$6:$A$12</definedName>
    <definedName name="Unit.GW">[2]Conversions!$F$55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37" l="1"/>
  <c r="D79" i="37"/>
  <c r="D78" i="37"/>
  <c r="D81" i="37"/>
  <c r="D80" i="37"/>
  <c r="D2" i="37"/>
  <c r="D211" i="40"/>
  <c r="D212" i="40" s="1"/>
  <c r="D213" i="40" s="1"/>
  <c r="D214" i="40" s="1"/>
  <c r="D215" i="40" s="1"/>
  <c r="D216" i="40" s="1"/>
  <c r="D217" i="40" s="1"/>
  <c r="D218" i="40" s="1"/>
  <c r="D219" i="40" s="1"/>
  <c r="D220" i="40" s="1"/>
  <c r="D221" i="40" s="1"/>
  <c r="D222" i="40" s="1"/>
  <c r="D198" i="40"/>
  <c r="D199" i="40" s="1"/>
  <c r="D200" i="40" s="1"/>
  <c r="D201" i="40" s="1"/>
  <c r="D202" i="40" s="1"/>
  <c r="D203" i="40" s="1"/>
  <c r="D204" i="40" s="1"/>
  <c r="D205" i="40" s="1"/>
  <c r="D206" i="40" s="1"/>
  <c r="D207" i="40" s="1"/>
  <c r="D208" i="40" s="1"/>
  <c r="D209" i="40" s="1"/>
  <c r="D185" i="40"/>
  <c r="D186" i="40" s="1"/>
  <c r="D187" i="40" s="1"/>
  <c r="D188" i="40" s="1"/>
  <c r="D189" i="40" s="1"/>
  <c r="D190" i="40" s="1"/>
  <c r="D191" i="40" s="1"/>
  <c r="D192" i="40" s="1"/>
  <c r="D193" i="40" s="1"/>
  <c r="D194" i="40" s="1"/>
  <c r="D195" i="40" s="1"/>
  <c r="D196" i="40" s="1"/>
  <c r="D172" i="40"/>
  <c r="D173" i="40" s="1"/>
  <c r="D174" i="40" s="1"/>
  <c r="D175" i="40" s="1"/>
  <c r="D176" i="40" s="1"/>
  <c r="D177" i="40" s="1"/>
  <c r="D178" i="40" s="1"/>
  <c r="D179" i="40" s="1"/>
  <c r="D180" i="40" s="1"/>
  <c r="D181" i="40" s="1"/>
  <c r="D182" i="40" s="1"/>
  <c r="D183" i="40" s="1"/>
  <c r="D159" i="40"/>
  <c r="D160" i="40" s="1"/>
  <c r="D161" i="40" s="1"/>
  <c r="D162" i="40" s="1"/>
  <c r="D163" i="40" s="1"/>
  <c r="D164" i="40" s="1"/>
  <c r="D165" i="40" s="1"/>
  <c r="D166" i="40" s="1"/>
  <c r="D167" i="40" s="1"/>
  <c r="D168" i="40" s="1"/>
  <c r="D169" i="40" s="1"/>
  <c r="D170" i="40" s="1"/>
  <c r="D146" i="40"/>
  <c r="D147" i="40" s="1"/>
  <c r="D148" i="40" s="1"/>
  <c r="D149" i="40" s="1"/>
  <c r="D150" i="40" s="1"/>
  <c r="D151" i="40" s="1"/>
  <c r="D152" i="40" s="1"/>
  <c r="D153" i="40" s="1"/>
  <c r="D154" i="40" s="1"/>
  <c r="D155" i="40" s="1"/>
  <c r="D156" i="40" s="1"/>
  <c r="D157" i="40" s="1"/>
  <c r="D133" i="40"/>
  <c r="D134" i="40" s="1"/>
  <c r="D135" i="40" s="1"/>
  <c r="D136" i="40" s="1"/>
  <c r="D137" i="40" s="1"/>
  <c r="D138" i="40" s="1"/>
  <c r="D139" i="40" s="1"/>
  <c r="D140" i="40" s="1"/>
  <c r="D141" i="40" s="1"/>
  <c r="D142" i="40" s="1"/>
  <c r="D143" i="40" s="1"/>
  <c r="D144" i="40" s="1"/>
  <c r="D120" i="40"/>
  <c r="D121" i="40" s="1"/>
  <c r="D122" i="40" s="1"/>
  <c r="D123" i="40" s="1"/>
  <c r="D124" i="40" s="1"/>
  <c r="D125" i="40" s="1"/>
  <c r="D126" i="40" s="1"/>
  <c r="D127" i="40" s="1"/>
  <c r="D128" i="40" s="1"/>
  <c r="D129" i="40" s="1"/>
  <c r="D130" i="40" s="1"/>
  <c r="D131" i="40" s="1"/>
  <c r="D107" i="40"/>
  <c r="D108" i="40" s="1"/>
  <c r="D109" i="40" s="1"/>
  <c r="D110" i="40" s="1"/>
  <c r="D111" i="40" s="1"/>
  <c r="D112" i="40" s="1"/>
  <c r="D113" i="40" s="1"/>
  <c r="D114" i="40" s="1"/>
  <c r="D115" i="40" s="1"/>
  <c r="D116" i="40" s="1"/>
  <c r="D117" i="40" s="1"/>
  <c r="D118" i="40" s="1"/>
  <c r="D94" i="40"/>
  <c r="D95" i="40" s="1"/>
  <c r="D96" i="40" s="1"/>
  <c r="D97" i="40" s="1"/>
  <c r="D98" i="40" s="1"/>
  <c r="D99" i="40" s="1"/>
  <c r="D100" i="40" s="1"/>
  <c r="D101" i="40" s="1"/>
  <c r="D102" i="40" s="1"/>
  <c r="D103" i="40" s="1"/>
  <c r="D104" i="40" s="1"/>
  <c r="D105" i="40" s="1"/>
  <c r="D81" i="40"/>
  <c r="D82" i="40" s="1"/>
  <c r="D83" i="40" s="1"/>
  <c r="D84" i="40" s="1"/>
  <c r="D85" i="40" s="1"/>
  <c r="D86" i="40" s="1"/>
  <c r="D87" i="40" s="1"/>
  <c r="D88" i="40" s="1"/>
  <c r="D89" i="40" s="1"/>
  <c r="D90" i="40" s="1"/>
  <c r="D91" i="40" s="1"/>
  <c r="D92" i="40" s="1"/>
  <c r="D68" i="40"/>
  <c r="D69" i="40" s="1"/>
  <c r="D70" i="40" s="1"/>
  <c r="D71" i="40" s="1"/>
  <c r="D72" i="40" s="1"/>
  <c r="D73" i="40" s="1"/>
  <c r="D74" i="40" s="1"/>
  <c r="D75" i="40" s="1"/>
  <c r="D76" i="40" s="1"/>
  <c r="D77" i="40" s="1"/>
  <c r="D78" i="40" s="1"/>
  <c r="D79" i="40" s="1"/>
  <c r="D55" i="40"/>
  <c r="D56" i="40" s="1"/>
  <c r="D57" i="40" s="1"/>
  <c r="D58" i="40" s="1"/>
  <c r="D59" i="40" s="1"/>
  <c r="D60" i="40" s="1"/>
  <c r="D61" i="40" s="1"/>
  <c r="D62" i="40" s="1"/>
  <c r="D63" i="40" s="1"/>
  <c r="D64" i="40" s="1"/>
  <c r="D65" i="40" s="1"/>
  <c r="D66" i="40" s="1"/>
  <c r="D42" i="40"/>
  <c r="D43" i="40" s="1"/>
  <c r="D44" i="40" s="1"/>
  <c r="D45" i="40" s="1"/>
  <c r="D46" i="40" s="1"/>
  <c r="D47" i="40" s="1"/>
  <c r="D48" i="40" s="1"/>
  <c r="D49" i="40" s="1"/>
  <c r="D50" i="40" s="1"/>
  <c r="D51" i="40" s="1"/>
  <c r="D52" i="40" s="1"/>
  <c r="D53" i="40" s="1"/>
  <c r="D29" i="40"/>
  <c r="D30" i="40" s="1"/>
  <c r="D31" i="40" s="1"/>
  <c r="D32" i="40" s="1"/>
  <c r="D33" i="40" s="1"/>
  <c r="D34" i="40" s="1"/>
  <c r="D35" i="40" s="1"/>
  <c r="D36" i="40" s="1"/>
  <c r="D37" i="40" s="1"/>
  <c r="D38" i="40" s="1"/>
  <c r="D39" i="40" s="1"/>
  <c r="D40" i="40" s="1"/>
  <c r="D16" i="40"/>
  <c r="D17" i="40" s="1"/>
  <c r="D18" i="40" s="1"/>
  <c r="D19" i="40" s="1"/>
  <c r="D20" i="40" s="1"/>
  <c r="D21" i="40" s="1"/>
  <c r="D22" i="40" s="1"/>
  <c r="D23" i="40" s="1"/>
  <c r="D24" i="40" s="1"/>
  <c r="D25" i="40" s="1"/>
  <c r="D26" i="40" s="1"/>
  <c r="D27" i="40" s="1"/>
  <c r="D14" i="40"/>
  <c r="D11" i="40"/>
  <c r="D12" i="40"/>
  <c r="D13" i="40" s="1"/>
  <c r="D10" i="40"/>
  <c r="D4" i="40"/>
  <c r="D5" i="40" s="1"/>
  <c r="D6" i="40" s="1"/>
  <c r="D7" i="40" s="1"/>
  <c r="D8" i="40" s="1"/>
  <c r="D9" i="40" s="1"/>
  <c r="D3" i="40"/>
  <c r="D75" i="37"/>
  <c r="D76" i="37"/>
  <c r="D77" i="37"/>
  <c r="D82" i="37"/>
  <c r="D83" i="37"/>
  <c r="D84" i="37"/>
  <c r="D85" i="37"/>
  <c r="D86" i="37"/>
  <c r="D87" i="37"/>
  <c r="D88" i="37"/>
  <c r="D89" i="37"/>
  <c r="D90" i="37"/>
  <c r="D10" i="37"/>
  <c r="D9" i="37"/>
  <c r="D8" i="37"/>
  <c r="D7" i="37"/>
  <c r="D6" i="37"/>
  <c r="D11" i="37"/>
  <c r="D12" i="37"/>
  <c r="D13" i="37"/>
  <c r="D14" i="37"/>
  <c r="D15" i="37"/>
  <c r="D16" i="37"/>
  <c r="D17" i="37"/>
  <c r="D18" i="37"/>
  <c r="D3" i="37"/>
  <c r="D4" i="37"/>
  <c r="D5" i="37"/>
  <c r="F81" i="24"/>
  <c r="I81" i="24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D55" i="37"/>
  <c r="D56" i="37"/>
  <c r="D57" i="37"/>
  <c r="D58" i="37"/>
  <c r="D59" i="37"/>
  <c r="D60" i="37"/>
  <c r="D61" i="37"/>
  <c r="D62" i="37"/>
  <c r="D63" i="37"/>
  <c r="D64" i="37"/>
  <c r="D65" i="37"/>
  <c r="D66" i="37"/>
  <c r="D67" i="37"/>
  <c r="D68" i="37"/>
  <c r="D69" i="37"/>
  <c r="D70" i="37"/>
  <c r="D71" i="37"/>
  <c r="D72" i="37"/>
  <c r="D73" i="37"/>
  <c r="G8" i="37"/>
  <c r="G7" i="37"/>
  <c r="G6" i="37"/>
  <c r="G9" i="37"/>
  <c r="G14" i="37"/>
  <c r="G13" i="37"/>
  <c r="G5" i="37"/>
  <c r="E308" i="26"/>
  <c r="E306" i="26"/>
  <c r="E38" i="26" s="1"/>
  <c r="E304" i="26"/>
  <c r="E302" i="26"/>
  <c r="E303" i="26"/>
  <c r="E305" i="26"/>
  <c r="E307" i="26"/>
  <c r="F307" i="26" s="1"/>
  <c r="F306" i="26" s="1"/>
  <c r="E309" i="26"/>
  <c r="F309" i="26" s="1"/>
  <c r="F308" i="26" s="1"/>
  <c r="E323" i="26"/>
  <c r="F323" i="26" s="1"/>
  <c r="F322" i="26" s="1"/>
  <c r="O303" i="26"/>
  <c r="O304" i="26"/>
  <c r="O305" i="26"/>
  <c r="O309" i="26"/>
  <c r="I310" i="26"/>
  <c r="E310" i="26" s="1"/>
  <c r="N310" i="26"/>
  <c r="I311" i="26"/>
  <c r="E311" i="26" s="1"/>
  <c r="N311" i="26"/>
  <c r="O311" i="26" s="1"/>
  <c r="I312" i="26"/>
  <c r="E312" i="26" s="1"/>
  <c r="N312" i="26"/>
  <c r="O312" i="26"/>
  <c r="I313" i="26"/>
  <c r="E313" i="26" s="1"/>
  <c r="N313" i="26"/>
  <c r="O313" i="26" s="1"/>
  <c r="I314" i="26"/>
  <c r="E314" i="26" s="1"/>
  <c r="I315" i="26"/>
  <c r="E315" i="26" s="1"/>
  <c r="I316" i="26"/>
  <c r="E316" i="26" s="1"/>
  <c r="N316" i="26"/>
  <c r="O317" i="26" s="1"/>
  <c r="I317" i="26"/>
  <c r="E317" i="26" s="1"/>
  <c r="N317" i="26"/>
  <c r="I318" i="26"/>
  <c r="E318" i="26" s="1"/>
  <c r="N318" i="26"/>
  <c r="I319" i="26"/>
  <c r="E319" i="26" s="1"/>
  <c r="N319" i="26"/>
  <c r="O319" i="26" s="1"/>
  <c r="I320" i="26"/>
  <c r="E320" i="26" s="1"/>
  <c r="N320" i="26"/>
  <c r="O320" i="26" s="1"/>
  <c r="I321" i="26"/>
  <c r="E321" i="26" s="1"/>
  <c r="N321" i="26"/>
  <c r="I322" i="26"/>
  <c r="E322" i="26" s="1"/>
  <c r="I323" i="26"/>
  <c r="I324" i="26"/>
  <c r="E324" i="26" s="1"/>
  <c r="N324" i="26"/>
  <c r="I325" i="26"/>
  <c r="E325" i="26" s="1"/>
  <c r="F325" i="26" s="1"/>
  <c r="F324" i="26" s="1"/>
  <c r="N325" i="26"/>
  <c r="O325" i="26" s="1"/>
  <c r="F305" i="26"/>
  <c r="F304" i="26" s="1"/>
  <c r="E42" i="26"/>
  <c r="M6" i="39"/>
  <c r="L6" i="39"/>
  <c r="M5" i="39"/>
  <c r="L5" i="39"/>
  <c r="M4" i="39"/>
  <c r="L4" i="39"/>
  <c r="M3" i="39"/>
  <c r="L3" i="39"/>
  <c r="K4" i="38"/>
  <c r="E71" i="26" s="1"/>
  <c r="F31" i="26"/>
  <c r="E37" i="38"/>
  <c r="D37" i="38" s="1"/>
  <c r="E153" i="26" s="1"/>
  <c r="E47" i="38"/>
  <c r="D47" i="38" s="1"/>
  <c r="E152" i="26" s="1"/>
  <c r="F47" i="38"/>
  <c r="F37" i="38"/>
  <c r="D379" i="26"/>
  <c r="B379" i="26"/>
  <c r="B380" i="26" s="1"/>
  <c r="B381" i="26" s="1"/>
  <c r="A379" i="26"/>
  <c r="A327" i="26"/>
  <c r="B327" i="26"/>
  <c r="B328" i="26" s="1"/>
  <c r="B329" i="26" s="1"/>
  <c r="D327" i="26"/>
  <c r="E46" i="38"/>
  <c r="D46" i="38" s="1"/>
  <c r="E326" i="26" s="1"/>
  <c r="E45" i="38"/>
  <c r="D45" i="38" s="1"/>
  <c r="E378" i="26" s="1"/>
  <c r="E44" i="38"/>
  <c r="D44" i="38" s="1"/>
  <c r="E252" i="26" s="1"/>
  <c r="E43" i="38"/>
  <c r="D43" i="38" s="1"/>
  <c r="E102" i="26" s="1"/>
  <c r="E42" i="38"/>
  <c r="D42" i="38" s="1"/>
  <c r="E2" i="26" s="1"/>
  <c r="E41" i="38"/>
  <c r="D41" i="38" s="1"/>
  <c r="E202" i="26" s="1"/>
  <c r="E32" i="38"/>
  <c r="D32" i="38" s="1"/>
  <c r="E3" i="26" s="1"/>
  <c r="E33" i="38"/>
  <c r="D33" i="38" s="1"/>
  <c r="E103" i="26" s="1"/>
  <c r="E34" i="38"/>
  <c r="D34" i="38" s="1"/>
  <c r="E253" i="26" s="1"/>
  <c r="E35" i="38"/>
  <c r="D35" i="38" s="1"/>
  <c r="E379" i="26" s="1"/>
  <c r="E36" i="38"/>
  <c r="D36" i="38" s="1"/>
  <c r="E327" i="26" s="1"/>
  <c r="E31" i="38"/>
  <c r="D31" i="38" s="1"/>
  <c r="E203" i="26" s="1"/>
  <c r="F46" i="38"/>
  <c r="F45" i="38"/>
  <c r="F34" i="38"/>
  <c r="F44" i="38"/>
  <c r="F43" i="38"/>
  <c r="F36" i="38"/>
  <c r="F42" i="38"/>
  <c r="F41" i="38"/>
  <c r="F35" i="38"/>
  <c r="F33" i="38"/>
  <c r="F32" i="38"/>
  <c r="F31" i="38"/>
  <c r="B377" i="26"/>
  <c r="D28" i="38"/>
  <c r="E376" i="26" s="1"/>
  <c r="D27" i="38"/>
  <c r="E72" i="26" s="1"/>
  <c r="D26" i="38"/>
  <c r="E346" i="26" s="1"/>
  <c r="D18" i="38"/>
  <c r="E347" i="26" s="1"/>
  <c r="K26" i="38"/>
  <c r="E128" i="26" s="1"/>
  <c r="K18" i="38"/>
  <c r="E129" i="26" s="1"/>
  <c r="L26" i="38"/>
  <c r="E28" i="38"/>
  <c r="E27" i="38"/>
  <c r="E26" i="38"/>
  <c r="D20" i="38"/>
  <c r="E377" i="26" s="1"/>
  <c r="D19" i="38"/>
  <c r="E73" i="26" s="1"/>
  <c r="E20" i="38"/>
  <c r="E19" i="38"/>
  <c r="E18" i="38"/>
  <c r="L18" i="38"/>
  <c r="K12" i="38"/>
  <c r="J12" i="38" s="1"/>
  <c r="E68" i="26" s="1"/>
  <c r="F68" i="26" s="1"/>
  <c r="K11" i="38"/>
  <c r="E20" i="26" s="1"/>
  <c r="K3" i="38"/>
  <c r="E21" i="26" s="1"/>
  <c r="F21" i="26" s="1"/>
  <c r="F20" i="26" s="1"/>
  <c r="E12" i="38"/>
  <c r="E13" i="26" s="1"/>
  <c r="E11" i="38"/>
  <c r="E213" i="26" s="1"/>
  <c r="E3" i="38"/>
  <c r="D3" i="38" s="1"/>
  <c r="E215" i="26" s="1"/>
  <c r="F12" i="38"/>
  <c r="F11" i="38"/>
  <c r="L12" i="38"/>
  <c r="L11" i="38"/>
  <c r="L4" i="38"/>
  <c r="L3" i="38"/>
  <c r="F4" i="38"/>
  <c r="E4" i="38"/>
  <c r="D4" i="38" s="1"/>
  <c r="E15" i="26" s="1"/>
  <c r="F3" i="38"/>
  <c r="S13" i="26"/>
  <c r="R13" i="26" s="1"/>
  <c r="T13" i="26"/>
  <c r="F334" i="26"/>
  <c r="F333" i="26"/>
  <c r="F331" i="26"/>
  <c r="F330" i="26"/>
  <c r="F301" i="26"/>
  <c r="F300" i="26"/>
  <c r="F283" i="26"/>
  <c r="F282" i="26"/>
  <c r="F281" i="26"/>
  <c r="F280" i="26"/>
  <c r="E275" i="26"/>
  <c r="F274" i="26"/>
  <c r="E274" i="26"/>
  <c r="F273" i="26"/>
  <c r="F272" i="26"/>
  <c r="F271" i="26"/>
  <c r="F270" i="26"/>
  <c r="F269" i="26"/>
  <c r="F268" i="26"/>
  <c r="F265" i="26"/>
  <c r="F264" i="26"/>
  <c r="F262" i="26"/>
  <c r="F260" i="26"/>
  <c r="F259" i="26"/>
  <c r="F257" i="26"/>
  <c r="F256" i="26"/>
  <c r="F232" i="26"/>
  <c r="F231" i="26"/>
  <c r="F230" i="26"/>
  <c r="F225" i="26"/>
  <c r="F224" i="26"/>
  <c r="F223" i="26"/>
  <c r="F222" i="26"/>
  <c r="F221" i="26"/>
  <c r="F220" i="26"/>
  <c r="F218" i="26"/>
  <c r="F214" i="26"/>
  <c r="F210" i="26"/>
  <c r="F209" i="26"/>
  <c r="F207" i="26"/>
  <c r="F206" i="26"/>
  <c r="F201" i="26"/>
  <c r="F200" i="26"/>
  <c r="F182" i="26"/>
  <c r="F181" i="26"/>
  <c r="F180" i="26"/>
  <c r="F179" i="26"/>
  <c r="F177" i="26"/>
  <c r="F173" i="26"/>
  <c r="F172" i="26"/>
  <c r="F171" i="26"/>
  <c r="F170" i="26"/>
  <c r="F169" i="26"/>
  <c r="F168" i="26"/>
  <c r="F166" i="26"/>
  <c r="F165" i="26"/>
  <c r="F164" i="26"/>
  <c r="F162" i="26"/>
  <c r="F160" i="26"/>
  <c r="F159" i="26"/>
  <c r="F157" i="26"/>
  <c r="F151" i="26"/>
  <c r="F150" i="26"/>
  <c r="F149" i="26"/>
  <c r="F148" i="26"/>
  <c r="F147" i="26"/>
  <c r="F146" i="26"/>
  <c r="F145" i="26"/>
  <c r="F144" i="26"/>
  <c r="F143" i="26"/>
  <c r="F142" i="26"/>
  <c r="F141" i="26"/>
  <c r="F140" i="26"/>
  <c r="F139" i="26"/>
  <c r="F138" i="26"/>
  <c r="F137" i="26"/>
  <c r="F136" i="26"/>
  <c r="F135" i="26"/>
  <c r="F134" i="26"/>
  <c r="F133" i="26"/>
  <c r="F132" i="26"/>
  <c r="F131" i="26"/>
  <c r="F130" i="26"/>
  <c r="F125" i="26"/>
  <c r="E125" i="26"/>
  <c r="F121" i="26"/>
  <c r="F120" i="26"/>
  <c r="F119" i="26"/>
  <c r="F118" i="26"/>
  <c r="F116" i="26"/>
  <c r="F115" i="26"/>
  <c r="F114" i="26"/>
  <c r="F112" i="26"/>
  <c r="F110" i="26"/>
  <c r="F109" i="26"/>
  <c r="F107" i="26"/>
  <c r="F106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2" i="26"/>
  <c r="F81" i="26"/>
  <c r="F80" i="26"/>
  <c r="F74" i="26"/>
  <c r="F72" i="26"/>
  <c r="F66" i="26"/>
  <c r="F65" i="26"/>
  <c r="F64" i="26"/>
  <c r="F62" i="26"/>
  <c r="F60" i="26"/>
  <c r="F59" i="26"/>
  <c r="F57" i="26"/>
  <c r="F56" i="26"/>
  <c r="G18" i="37"/>
  <c r="G17" i="37"/>
  <c r="G16" i="37"/>
  <c r="G15" i="37"/>
  <c r="G12" i="37"/>
  <c r="G11" i="37"/>
  <c r="G10" i="37"/>
  <c r="G2" i="37"/>
  <c r="G4" i="37"/>
  <c r="G3" i="37"/>
  <c r="O321" i="26" l="1"/>
  <c r="E295" i="26"/>
  <c r="E198" i="26"/>
  <c r="F313" i="26"/>
  <c r="F312" i="26" s="1"/>
  <c r="E199" i="26"/>
  <c r="F199" i="26" s="1"/>
  <c r="F198" i="26" s="1"/>
  <c r="E197" i="26"/>
  <c r="F311" i="26"/>
  <c r="F310" i="26" s="1"/>
  <c r="F319" i="26"/>
  <c r="F318" i="26" s="1"/>
  <c r="F303" i="26"/>
  <c r="F302" i="26" s="1"/>
  <c r="F315" i="26"/>
  <c r="F314" i="26" s="1"/>
  <c r="F317" i="26"/>
  <c r="F316" i="26" s="1"/>
  <c r="F321" i="26"/>
  <c r="F320" i="26" s="1"/>
  <c r="J26" i="38"/>
  <c r="E126" i="26" s="1"/>
  <c r="E39" i="26"/>
  <c r="E46" i="26"/>
  <c r="E189" i="26"/>
  <c r="E288" i="26"/>
  <c r="E192" i="26"/>
  <c r="E296" i="26"/>
  <c r="E292" i="26"/>
  <c r="E47" i="26"/>
  <c r="E40" i="26"/>
  <c r="E184" i="26"/>
  <c r="E41" i="26"/>
  <c r="E48" i="26"/>
  <c r="F347" i="26"/>
  <c r="F346" i="26" s="1"/>
  <c r="E49" i="26"/>
  <c r="E190" i="26"/>
  <c r="E191" i="26"/>
  <c r="E16" i="26"/>
  <c r="E44" i="26"/>
  <c r="E37" i="26"/>
  <c r="E45" i="26"/>
  <c r="E36" i="26"/>
  <c r="E186" i="26"/>
  <c r="E194" i="26"/>
  <c r="F103" i="26"/>
  <c r="F102" i="26" s="1"/>
  <c r="E34" i="26"/>
  <c r="E35" i="26"/>
  <c r="E43" i="26"/>
  <c r="F43" i="26" s="1"/>
  <c r="F42" i="26" s="1"/>
  <c r="F379" i="26"/>
  <c r="F378" i="26" s="1"/>
  <c r="E205" i="26"/>
  <c r="E381" i="26"/>
  <c r="J3" i="38"/>
  <c r="E19" i="26" s="1"/>
  <c r="E4" i="26"/>
  <c r="E216" i="26"/>
  <c r="F216" i="26" s="1"/>
  <c r="F213" i="26" s="1"/>
  <c r="J11" i="38"/>
  <c r="E18" i="26" s="1"/>
  <c r="J18" i="38"/>
  <c r="E127" i="26" s="1"/>
  <c r="F127" i="26" s="1"/>
  <c r="F126" i="26" s="1"/>
  <c r="E5" i="26"/>
  <c r="E254" i="26"/>
  <c r="E204" i="26"/>
  <c r="D11" i="38"/>
  <c r="E212" i="26" s="1"/>
  <c r="F215" i="26" s="1"/>
  <c r="F212" i="26" s="1"/>
  <c r="E255" i="26"/>
  <c r="D12" i="38"/>
  <c r="E12" i="26" s="1"/>
  <c r="F15" i="26" s="1"/>
  <c r="F12" i="26" s="1"/>
  <c r="E104" i="26"/>
  <c r="E105" i="26"/>
  <c r="E328" i="26"/>
  <c r="E70" i="26"/>
  <c r="F70" i="26" s="1"/>
  <c r="E329" i="26"/>
  <c r="E154" i="26"/>
  <c r="J4" i="38"/>
  <c r="E69" i="26" s="1"/>
  <c r="F69" i="26" s="1"/>
  <c r="E155" i="26"/>
  <c r="E380" i="26"/>
  <c r="F381" i="26" s="1"/>
  <c r="F380" i="26" s="1"/>
  <c r="F129" i="26"/>
  <c r="F128" i="26" s="1"/>
  <c r="F377" i="26"/>
  <c r="F376" i="26" s="1"/>
  <c r="F16" i="26"/>
  <c r="F13" i="26" s="1"/>
  <c r="F219" i="26"/>
  <c r="F314" i="24"/>
  <c r="F313" i="24"/>
  <c r="F312" i="24"/>
  <c r="F304" i="24"/>
  <c r="F303" i="24"/>
  <c r="F302" i="24"/>
  <c r="F294" i="24"/>
  <c r="F293" i="24"/>
  <c r="F292" i="24"/>
  <c r="F284" i="24"/>
  <c r="F283" i="24"/>
  <c r="F282" i="24"/>
  <c r="F191" i="26" l="1"/>
  <c r="F190" i="26" s="1"/>
  <c r="F39" i="26"/>
  <c r="F38" i="26" s="1"/>
  <c r="F47" i="26"/>
  <c r="F46" i="26" s="1"/>
  <c r="F45" i="26"/>
  <c r="F44" i="26" s="1"/>
  <c r="F49" i="26"/>
  <c r="F48" i="26" s="1"/>
  <c r="F41" i="26"/>
  <c r="F40" i="26" s="1"/>
  <c r="F37" i="26"/>
  <c r="F36" i="26" s="1"/>
  <c r="F35" i="26"/>
  <c r="F34" i="26" s="1"/>
  <c r="E284" i="26"/>
  <c r="E196" i="26"/>
  <c r="F197" i="26" s="1"/>
  <c r="F196" i="26" s="1"/>
  <c r="E188" i="26"/>
  <c r="F189" i="26" s="1"/>
  <c r="F188" i="26" s="1"/>
  <c r="E297" i="26"/>
  <c r="F297" i="26" s="1"/>
  <c r="F296" i="26" s="1"/>
  <c r="E289" i="26"/>
  <c r="F289" i="26" s="1"/>
  <c r="F288" i="26" s="1"/>
  <c r="E298" i="26"/>
  <c r="E290" i="26"/>
  <c r="E299" i="26"/>
  <c r="E291" i="26"/>
  <c r="F71" i="26"/>
  <c r="E294" i="26"/>
  <c r="F295" i="26" s="1"/>
  <c r="F294" i="26" s="1"/>
  <c r="E286" i="26"/>
  <c r="E287" i="26"/>
  <c r="E195" i="26"/>
  <c r="F195" i="26" s="1"/>
  <c r="F194" i="26" s="1"/>
  <c r="E187" i="26"/>
  <c r="F187" i="26" s="1"/>
  <c r="F186" i="26" s="1"/>
  <c r="F105" i="26"/>
  <c r="F104" i="26" s="1"/>
  <c r="F204" i="26"/>
  <c r="E193" i="26"/>
  <c r="F193" i="26" s="1"/>
  <c r="F192" i="26" s="1"/>
  <c r="E185" i="26"/>
  <c r="F185" i="26" s="1"/>
  <c r="F184" i="26" s="1"/>
  <c r="E293" i="26"/>
  <c r="F293" i="26" s="1"/>
  <c r="F292" i="26" s="1"/>
  <c r="E285" i="26"/>
  <c r="F285" i="26" s="1"/>
  <c r="F284" i="26" s="1"/>
  <c r="F19" i="26"/>
  <c r="F18" i="26" s="1"/>
  <c r="G157" i="29"/>
  <c r="G158" i="29" s="1"/>
  <c r="G159" i="29" s="1"/>
  <c r="G160" i="29" s="1"/>
  <c r="G161" i="29" s="1"/>
  <c r="G162" i="29" s="1"/>
  <c r="G163" i="29" s="1"/>
  <c r="G164" i="29" s="1"/>
  <c r="G165" i="29" s="1"/>
  <c r="G166" i="29" s="1"/>
  <c r="G167" i="29" s="1"/>
  <c r="G168" i="29" s="1"/>
  <c r="G169" i="29" s="1"/>
  <c r="G143" i="29"/>
  <c r="G144" i="29" s="1"/>
  <c r="G145" i="29" s="1"/>
  <c r="G146" i="29" s="1"/>
  <c r="G147" i="29" s="1"/>
  <c r="G148" i="29" s="1"/>
  <c r="G149" i="29" s="1"/>
  <c r="G150" i="29" s="1"/>
  <c r="G151" i="29" s="1"/>
  <c r="G152" i="29" s="1"/>
  <c r="G153" i="29" s="1"/>
  <c r="G154" i="29" s="1"/>
  <c r="G155" i="29" s="1"/>
  <c r="G129" i="29"/>
  <c r="G130" i="29" s="1"/>
  <c r="G131" i="29" s="1"/>
  <c r="G132" i="29" s="1"/>
  <c r="G133" i="29" s="1"/>
  <c r="G134" i="29" s="1"/>
  <c r="G135" i="29" s="1"/>
  <c r="G136" i="29" s="1"/>
  <c r="G137" i="29" s="1"/>
  <c r="G138" i="29" s="1"/>
  <c r="G139" i="29" s="1"/>
  <c r="G140" i="29" s="1"/>
  <c r="G141" i="29" s="1"/>
  <c r="G115" i="29"/>
  <c r="G116" i="29" s="1"/>
  <c r="G117" i="29" s="1"/>
  <c r="G118" i="29" s="1"/>
  <c r="G119" i="29" s="1"/>
  <c r="G120" i="29" s="1"/>
  <c r="G121" i="29" s="1"/>
  <c r="G122" i="29" s="1"/>
  <c r="G123" i="29" s="1"/>
  <c r="G124" i="29" s="1"/>
  <c r="G125" i="29" s="1"/>
  <c r="G126" i="29" s="1"/>
  <c r="G127" i="29" s="1"/>
  <c r="G102" i="29"/>
  <c r="G103" i="29" s="1"/>
  <c r="G104" i="29" s="1"/>
  <c r="G105" i="29" s="1"/>
  <c r="G106" i="29" s="1"/>
  <c r="G107" i="29" s="1"/>
  <c r="G108" i="29" s="1"/>
  <c r="G109" i="29" s="1"/>
  <c r="G110" i="29" s="1"/>
  <c r="G111" i="29" s="1"/>
  <c r="G112" i="29" s="1"/>
  <c r="G113" i="29" s="1"/>
  <c r="G101" i="29"/>
  <c r="G87" i="29"/>
  <c r="G88" i="29" s="1"/>
  <c r="G89" i="29" s="1"/>
  <c r="G90" i="29" s="1"/>
  <c r="G91" i="29" s="1"/>
  <c r="G92" i="29" s="1"/>
  <c r="G93" i="29" s="1"/>
  <c r="G94" i="29" s="1"/>
  <c r="G95" i="29" s="1"/>
  <c r="G96" i="29" s="1"/>
  <c r="G97" i="29" s="1"/>
  <c r="G98" i="29" s="1"/>
  <c r="G99" i="29" s="1"/>
  <c r="G73" i="29"/>
  <c r="G74" i="29" s="1"/>
  <c r="G75" i="29" s="1"/>
  <c r="G76" i="29" s="1"/>
  <c r="G77" i="29" s="1"/>
  <c r="G78" i="29" s="1"/>
  <c r="G79" i="29" s="1"/>
  <c r="G80" i="29" s="1"/>
  <c r="G81" i="29" s="1"/>
  <c r="G82" i="29" s="1"/>
  <c r="G83" i="29" s="1"/>
  <c r="G84" i="29" s="1"/>
  <c r="G85" i="29" s="1"/>
  <c r="G59" i="29"/>
  <c r="G6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0" i="29" s="1"/>
  <c r="G71" i="29" s="1"/>
  <c r="G45" i="29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31" i="29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17" i="29"/>
  <c r="G18" i="29" s="1"/>
  <c r="G19" i="29" s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" i="29"/>
  <c r="G4" i="29" s="1"/>
  <c r="G5" i="29" s="1"/>
  <c r="G6" i="29" s="1"/>
  <c r="G7" i="29" s="1"/>
  <c r="G8" i="29" s="1"/>
  <c r="G9" i="29" s="1"/>
  <c r="G10" i="29" s="1"/>
  <c r="G11" i="29" s="1"/>
  <c r="G12" i="29" s="1"/>
  <c r="G13" i="29" s="1"/>
  <c r="G14" i="29" s="1"/>
  <c r="G15" i="29" s="1"/>
  <c r="H141" i="24"/>
  <c r="F141" i="24" s="1"/>
  <c r="O101" i="26"/>
  <c r="O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87" i="26"/>
  <c r="O86" i="26"/>
  <c r="O85" i="26"/>
  <c r="O84" i="26"/>
  <c r="O81" i="26"/>
  <c r="O80" i="26"/>
  <c r="O74" i="26"/>
  <c r="N73" i="26"/>
  <c r="O73" i="26" s="1"/>
  <c r="O72" i="26"/>
  <c r="N72" i="26"/>
  <c r="O71" i="26"/>
  <c r="O70" i="26"/>
  <c r="O68" i="26"/>
  <c r="N68" i="26"/>
  <c r="O69" i="26" s="1"/>
  <c r="O66" i="26"/>
  <c r="O65" i="26"/>
  <c r="N65" i="26"/>
  <c r="O64" i="26"/>
  <c r="O62" i="26"/>
  <c r="O60" i="26"/>
  <c r="O59" i="26"/>
  <c r="O57" i="26"/>
  <c r="O56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38" i="26"/>
  <c r="O137" i="26"/>
  <c r="O136" i="26"/>
  <c r="O135" i="26"/>
  <c r="O134" i="26"/>
  <c r="O131" i="26"/>
  <c r="O130" i="26"/>
  <c r="N129" i="26"/>
  <c r="N128" i="26"/>
  <c r="O128" i="26" s="1"/>
  <c r="O127" i="26"/>
  <c r="O125" i="26"/>
  <c r="N125" i="26"/>
  <c r="O121" i="26"/>
  <c r="O120" i="26"/>
  <c r="N118" i="26"/>
  <c r="O119" i="26" s="1"/>
  <c r="O116" i="26"/>
  <c r="O115" i="26"/>
  <c r="N115" i="26"/>
  <c r="O114" i="26"/>
  <c r="O112" i="26"/>
  <c r="O110" i="26"/>
  <c r="O109" i="26"/>
  <c r="O107" i="26"/>
  <c r="O106" i="26"/>
  <c r="N105" i="26"/>
  <c r="N104" i="26"/>
  <c r="O105" i="26" s="1"/>
  <c r="N103" i="26"/>
  <c r="O102" i="26"/>
  <c r="N102" i="26"/>
  <c r="O201" i="26"/>
  <c r="O200" i="26"/>
  <c r="O199" i="26"/>
  <c r="O198" i="26"/>
  <c r="O195" i="26"/>
  <c r="O194" i="26"/>
  <c r="O193" i="26"/>
  <c r="O192" i="26"/>
  <c r="O191" i="26"/>
  <c r="O190" i="26"/>
  <c r="O187" i="26"/>
  <c r="O186" i="26"/>
  <c r="O185" i="26"/>
  <c r="O184" i="26"/>
  <c r="O181" i="26"/>
  <c r="O180" i="26"/>
  <c r="N179" i="26"/>
  <c r="O179" i="26" s="1"/>
  <c r="N178" i="26"/>
  <c r="N177" i="26"/>
  <c r="O177" i="26" s="1"/>
  <c r="N173" i="26"/>
  <c r="N172" i="26"/>
  <c r="O173" i="26" s="1"/>
  <c r="O171" i="26"/>
  <c r="O170" i="26"/>
  <c r="N168" i="26"/>
  <c r="O169" i="26" s="1"/>
  <c r="O166" i="26"/>
  <c r="N165" i="26"/>
  <c r="O165" i="26" s="1"/>
  <c r="O164" i="26"/>
  <c r="O162" i="26"/>
  <c r="O160" i="26"/>
  <c r="O159" i="26"/>
  <c r="O157" i="26"/>
  <c r="O156" i="26"/>
  <c r="N155" i="26"/>
  <c r="N153" i="26" s="1"/>
  <c r="O154" i="26"/>
  <c r="O152" i="26"/>
  <c r="N152" i="26"/>
  <c r="O334" i="26"/>
  <c r="O333" i="26"/>
  <c r="O331" i="26"/>
  <c r="O330" i="26"/>
  <c r="O301" i="26"/>
  <c r="O300" i="26"/>
  <c r="O299" i="26"/>
  <c r="O298" i="26"/>
  <c r="O295" i="26"/>
  <c r="O294" i="26"/>
  <c r="O293" i="26"/>
  <c r="O292" i="26"/>
  <c r="O291" i="26"/>
  <c r="O290" i="26"/>
  <c r="O287" i="26"/>
  <c r="O286" i="26"/>
  <c r="O285" i="26"/>
  <c r="O284" i="26"/>
  <c r="O281" i="26"/>
  <c r="O280" i="26"/>
  <c r="N279" i="26"/>
  <c r="O278" i="26"/>
  <c r="N278" i="26"/>
  <c r="N275" i="26"/>
  <c r="O274" i="26"/>
  <c r="N274" i="26"/>
  <c r="O273" i="26"/>
  <c r="O272" i="26"/>
  <c r="O271" i="26"/>
  <c r="O270" i="26"/>
  <c r="O269" i="26"/>
  <c r="O268" i="26"/>
  <c r="N268" i="26"/>
  <c r="O266" i="26"/>
  <c r="O265" i="26"/>
  <c r="N265" i="26"/>
  <c r="O264" i="26"/>
  <c r="O262" i="26"/>
  <c r="O260" i="26"/>
  <c r="O259" i="26"/>
  <c r="O257" i="26"/>
  <c r="O256" i="26"/>
  <c r="O255" i="26"/>
  <c r="N255" i="26"/>
  <c r="O254" i="26"/>
  <c r="N254" i="26"/>
  <c r="N253" i="26"/>
  <c r="N252" i="26"/>
  <c r="O252" i="26" s="1"/>
  <c r="O231" i="26"/>
  <c r="O230" i="26"/>
  <c r="N229" i="26"/>
  <c r="O228" i="26"/>
  <c r="N228" i="26"/>
  <c r="O225" i="26"/>
  <c r="O224" i="26"/>
  <c r="O223" i="26"/>
  <c r="O222" i="26"/>
  <c r="O221" i="26"/>
  <c r="O220" i="26"/>
  <c r="O219" i="26"/>
  <c r="O218" i="26"/>
  <c r="N218" i="26"/>
  <c r="O216" i="26"/>
  <c r="O215" i="26"/>
  <c r="N215" i="26"/>
  <c r="O214" i="26"/>
  <c r="O212" i="26"/>
  <c r="O210" i="26"/>
  <c r="O209" i="26"/>
  <c r="O207" i="26"/>
  <c r="O206" i="26"/>
  <c r="O205" i="26"/>
  <c r="N205" i="26"/>
  <c r="O204" i="26"/>
  <c r="N204" i="26"/>
  <c r="N203" i="26"/>
  <c r="N202" i="26"/>
  <c r="O202" i="26" s="1"/>
  <c r="F139" i="24"/>
  <c r="F151" i="24"/>
  <c r="F231" i="24"/>
  <c r="F254" i="24"/>
  <c r="F255" i="24" s="1"/>
  <c r="F267" i="24"/>
  <c r="F268" i="24" s="1"/>
  <c r="E267" i="24"/>
  <c r="B267" i="24"/>
  <c r="E254" i="24"/>
  <c r="B254" i="24"/>
  <c r="E230" i="24"/>
  <c r="B230" i="24"/>
  <c r="F244" i="24"/>
  <c r="E243" i="24"/>
  <c r="B243" i="24"/>
  <c r="B181" i="34"/>
  <c r="B157" i="34"/>
  <c r="B127" i="34"/>
  <c r="B55" i="34"/>
  <c r="A157" i="29"/>
  <c r="A158" i="29" s="1"/>
  <c r="E156" i="29"/>
  <c r="A145" i="29"/>
  <c r="A146" i="29" s="1"/>
  <c r="E144" i="29"/>
  <c r="A144" i="29"/>
  <c r="E143" i="29"/>
  <c r="A143" i="29"/>
  <c r="E142" i="29"/>
  <c r="A130" i="29"/>
  <c r="A131" i="29" s="1"/>
  <c r="A129" i="29"/>
  <c r="E129" i="29" s="1"/>
  <c r="E128" i="29"/>
  <c r="E115" i="29"/>
  <c r="B115" i="29"/>
  <c r="B116" i="29" s="1"/>
  <c r="B117" i="29" s="1"/>
  <c r="B118" i="29" s="1"/>
  <c r="B119" i="29" s="1"/>
  <c r="B120" i="29" s="1"/>
  <c r="B121" i="29" s="1"/>
  <c r="B122" i="29" s="1"/>
  <c r="B123" i="29" s="1"/>
  <c r="B124" i="29" s="1"/>
  <c r="B125" i="29" s="1"/>
  <c r="B126" i="29" s="1"/>
  <c r="B127" i="29" s="1"/>
  <c r="B128" i="29" s="1"/>
  <c r="B129" i="29" s="1"/>
  <c r="B130" i="29" s="1"/>
  <c r="B131" i="29" s="1"/>
  <c r="B132" i="29" s="1"/>
  <c r="B133" i="29" s="1"/>
  <c r="B134" i="29" s="1"/>
  <c r="B135" i="29" s="1"/>
  <c r="B136" i="29" s="1"/>
  <c r="B137" i="29" s="1"/>
  <c r="B138" i="29" s="1"/>
  <c r="B139" i="29" s="1"/>
  <c r="B140" i="29" s="1"/>
  <c r="B141" i="29" s="1"/>
  <c r="B142" i="29" s="1"/>
  <c r="B143" i="29" s="1"/>
  <c r="B144" i="29" s="1"/>
  <c r="B145" i="29" s="1"/>
  <c r="B146" i="29" s="1"/>
  <c r="B147" i="29" s="1"/>
  <c r="B148" i="29" s="1"/>
  <c r="B149" i="29" s="1"/>
  <c r="B150" i="29" s="1"/>
  <c r="B151" i="29" s="1"/>
  <c r="B152" i="29" s="1"/>
  <c r="B153" i="29" s="1"/>
  <c r="B154" i="29" s="1"/>
  <c r="B155" i="29" s="1"/>
  <c r="B156" i="29" s="1"/>
  <c r="B157" i="29" s="1"/>
  <c r="B158" i="29" s="1"/>
  <c r="B159" i="29" s="1"/>
  <c r="B160" i="29" s="1"/>
  <c r="B161" i="29" s="1"/>
  <c r="B162" i="29" s="1"/>
  <c r="B163" i="29" s="1"/>
  <c r="B164" i="29" s="1"/>
  <c r="B165" i="29" s="1"/>
  <c r="B166" i="29" s="1"/>
  <c r="B167" i="29" s="1"/>
  <c r="B168" i="29" s="1"/>
  <c r="B169" i="29" s="1"/>
  <c r="A115" i="29"/>
  <c r="A116" i="29" s="1"/>
  <c r="E114" i="29"/>
  <c r="A101" i="29"/>
  <c r="A102" i="29" s="1"/>
  <c r="E100" i="29"/>
  <c r="A88" i="29"/>
  <c r="A89" i="29" s="1"/>
  <c r="E87" i="29"/>
  <c r="A87" i="29"/>
  <c r="E86" i="29"/>
  <c r="A73" i="29"/>
  <c r="A74" i="29" s="1"/>
  <c r="E72" i="29"/>
  <c r="B59" i="29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B87" i="29" s="1"/>
  <c r="B88" i="29" s="1"/>
  <c r="B89" i="29" s="1"/>
  <c r="B90" i="29" s="1"/>
  <c r="B91" i="29" s="1"/>
  <c r="B92" i="29" s="1"/>
  <c r="B93" i="29" s="1"/>
  <c r="B94" i="29" s="1"/>
  <c r="B95" i="29" s="1"/>
  <c r="B96" i="29" s="1"/>
  <c r="B97" i="29" s="1"/>
  <c r="B98" i="29" s="1"/>
  <c r="B99" i="29" s="1"/>
  <c r="B100" i="29" s="1"/>
  <c r="B101" i="29" s="1"/>
  <c r="B102" i="29" s="1"/>
  <c r="B103" i="29" s="1"/>
  <c r="B104" i="29" s="1"/>
  <c r="B105" i="29" s="1"/>
  <c r="B106" i="29" s="1"/>
  <c r="B107" i="29" s="1"/>
  <c r="B108" i="29" s="1"/>
  <c r="B109" i="29" s="1"/>
  <c r="B110" i="29" s="1"/>
  <c r="B111" i="29" s="1"/>
  <c r="B112" i="29" s="1"/>
  <c r="B113" i="29" s="1"/>
  <c r="A59" i="29"/>
  <c r="A60" i="29" s="1"/>
  <c r="E58" i="29"/>
  <c r="BB54" i="30"/>
  <c r="BB55" i="30" s="1"/>
  <c r="BB56" i="30" s="1"/>
  <c r="BB57" i="30" s="1"/>
  <c r="BB58" i="30" s="1"/>
  <c r="AV46" i="30"/>
  <c r="AV47" i="30" s="1"/>
  <c r="AZ45" i="30"/>
  <c r="BB40" i="30"/>
  <c r="BB41" i="30" s="1"/>
  <c r="BB42" i="30" s="1"/>
  <c r="BB43" i="30" s="1"/>
  <c r="BB44" i="30" s="1"/>
  <c r="AV33" i="30"/>
  <c r="AV34" i="30" s="1"/>
  <c r="AZ32" i="30"/>
  <c r="AV32" i="30"/>
  <c r="AZ31" i="30"/>
  <c r="BB26" i="30"/>
  <c r="BB27" i="30" s="1"/>
  <c r="BB28" i="30" s="1"/>
  <c r="BB29" i="30" s="1"/>
  <c r="BB30" i="30" s="1"/>
  <c r="AV18" i="30"/>
  <c r="AV19" i="30" s="1"/>
  <c r="AZ17" i="30"/>
  <c r="BB13" i="30"/>
  <c r="BB14" i="30" s="1"/>
  <c r="BB15" i="30" s="1"/>
  <c r="BB16" i="30" s="1"/>
  <c r="BB12" i="30"/>
  <c r="AZ4" i="30"/>
  <c r="AW4" i="30"/>
  <c r="AW5" i="30" s="1"/>
  <c r="AW6" i="30" s="1"/>
  <c r="AW7" i="30" s="1"/>
  <c r="AW8" i="30" s="1"/>
  <c r="AW9" i="30" s="1"/>
  <c r="AW10" i="30" s="1"/>
  <c r="AW11" i="30" s="1"/>
  <c r="AW12" i="30" s="1"/>
  <c r="AW13" i="30" s="1"/>
  <c r="AW14" i="30" s="1"/>
  <c r="AW15" i="30" s="1"/>
  <c r="AW16" i="30" s="1"/>
  <c r="AW17" i="30" s="1"/>
  <c r="AW18" i="30" s="1"/>
  <c r="AW19" i="30" s="1"/>
  <c r="AW20" i="30" s="1"/>
  <c r="AW21" i="30" s="1"/>
  <c r="AW22" i="30" s="1"/>
  <c r="AW23" i="30" s="1"/>
  <c r="AW24" i="30" s="1"/>
  <c r="AW25" i="30" s="1"/>
  <c r="AW26" i="30" s="1"/>
  <c r="AW27" i="30" s="1"/>
  <c r="AW28" i="30" s="1"/>
  <c r="AW29" i="30" s="1"/>
  <c r="AW30" i="30" s="1"/>
  <c r="AW31" i="30" s="1"/>
  <c r="AW32" i="30" s="1"/>
  <c r="AW33" i="30" s="1"/>
  <c r="AW34" i="30" s="1"/>
  <c r="AW35" i="30" s="1"/>
  <c r="AW36" i="30" s="1"/>
  <c r="AW37" i="30" s="1"/>
  <c r="AW38" i="30" s="1"/>
  <c r="AW39" i="30" s="1"/>
  <c r="AW40" i="30" s="1"/>
  <c r="AW41" i="30" s="1"/>
  <c r="AW42" i="30" s="1"/>
  <c r="AW43" i="30" s="1"/>
  <c r="AW44" i="30" s="1"/>
  <c r="AW45" i="30" s="1"/>
  <c r="AW46" i="30" s="1"/>
  <c r="AW47" i="30" s="1"/>
  <c r="AW48" i="30" s="1"/>
  <c r="AW49" i="30" s="1"/>
  <c r="AW50" i="30" s="1"/>
  <c r="AW51" i="30" s="1"/>
  <c r="AW52" i="30" s="1"/>
  <c r="AW53" i="30" s="1"/>
  <c r="AW54" i="30" s="1"/>
  <c r="AW55" i="30" s="1"/>
  <c r="AW56" i="30" s="1"/>
  <c r="AW57" i="30" s="1"/>
  <c r="AW58" i="30" s="1"/>
  <c r="AV4" i="30"/>
  <c r="AV5" i="30" s="1"/>
  <c r="AZ3" i="30"/>
  <c r="B330" i="26"/>
  <c r="B331" i="26" s="1"/>
  <c r="B332" i="26" s="1"/>
  <c r="B333" i="26" s="1"/>
  <c r="B334" i="26" s="1"/>
  <c r="B335" i="26" s="1"/>
  <c r="B336" i="26" s="1"/>
  <c r="B337" i="26" s="1"/>
  <c r="B338" i="26" s="1"/>
  <c r="B339" i="26" s="1"/>
  <c r="B340" i="26" s="1"/>
  <c r="B341" i="26" s="1"/>
  <c r="B342" i="26" s="1"/>
  <c r="B343" i="26" s="1"/>
  <c r="B344" i="26" s="1"/>
  <c r="B345" i="26" s="1"/>
  <c r="B346" i="26" s="1"/>
  <c r="B347" i="26" s="1"/>
  <c r="B348" i="26" s="1"/>
  <c r="B349" i="26" s="1"/>
  <c r="B350" i="26" s="1"/>
  <c r="B351" i="26" s="1"/>
  <c r="B352" i="26" s="1"/>
  <c r="B353" i="26" s="1"/>
  <c r="B354" i="26" s="1"/>
  <c r="B355" i="26" s="1"/>
  <c r="B356" i="26" s="1"/>
  <c r="B357" i="26" s="1"/>
  <c r="B358" i="26" s="1"/>
  <c r="B359" i="26" s="1"/>
  <c r="B360" i="26" s="1"/>
  <c r="B361" i="26" s="1"/>
  <c r="B362" i="26" s="1"/>
  <c r="B363" i="26" s="1"/>
  <c r="B364" i="26" s="1"/>
  <c r="B365" i="26" s="1"/>
  <c r="B366" i="26" s="1"/>
  <c r="B367" i="26" s="1"/>
  <c r="B368" i="26" s="1"/>
  <c r="B369" i="26" s="1"/>
  <c r="B370" i="26" s="1"/>
  <c r="B371" i="26" s="1"/>
  <c r="B372" i="26" s="1"/>
  <c r="B373" i="26" s="1"/>
  <c r="B374" i="26" s="1"/>
  <c r="B375" i="26" s="1"/>
  <c r="B319" i="26"/>
  <c r="B320" i="26" s="1"/>
  <c r="B321" i="26" s="1"/>
  <c r="B322" i="26" s="1"/>
  <c r="B323" i="26" s="1"/>
  <c r="B324" i="26" s="1"/>
  <c r="B325" i="26" s="1"/>
  <c r="B311" i="26"/>
  <c r="B312" i="26" s="1"/>
  <c r="B313" i="26" s="1"/>
  <c r="B314" i="26" s="1"/>
  <c r="B315" i="26" s="1"/>
  <c r="B316" i="26" s="1"/>
  <c r="B317" i="26" s="1"/>
  <c r="D253" i="26"/>
  <c r="B253" i="26"/>
  <c r="B254" i="26" s="1"/>
  <c r="B255" i="26" s="1"/>
  <c r="B256" i="26" s="1"/>
  <c r="B257" i="26" s="1"/>
  <c r="B258" i="26" s="1"/>
  <c r="B259" i="26" s="1"/>
  <c r="B260" i="26" s="1"/>
  <c r="B261" i="26" s="1"/>
  <c r="B262" i="26" s="1"/>
  <c r="B263" i="26" s="1"/>
  <c r="B264" i="26" s="1"/>
  <c r="B265" i="26" s="1"/>
  <c r="B266" i="26" s="1"/>
  <c r="B267" i="26" s="1"/>
  <c r="B268" i="26" s="1"/>
  <c r="B269" i="26" s="1"/>
  <c r="B270" i="26" s="1"/>
  <c r="B271" i="26" s="1"/>
  <c r="B272" i="26" s="1"/>
  <c r="B273" i="26" s="1"/>
  <c r="B274" i="26" s="1"/>
  <c r="B275" i="26" s="1"/>
  <c r="B276" i="26" s="1"/>
  <c r="B277" i="26" s="1"/>
  <c r="B278" i="26" s="1"/>
  <c r="B279" i="26" s="1"/>
  <c r="B280" i="26" s="1"/>
  <c r="B281" i="26" s="1"/>
  <c r="B282" i="26" s="1"/>
  <c r="B283" i="26" s="1"/>
  <c r="B284" i="26" s="1"/>
  <c r="B285" i="26" s="1"/>
  <c r="B286" i="26" s="1"/>
  <c r="B287" i="26" s="1"/>
  <c r="B288" i="26" s="1"/>
  <c r="B289" i="26" s="1"/>
  <c r="B290" i="26" s="1"/>
  <c r="B291" i="26" s="1"/>
  <c r="B292" i="26" s="1"/>
  <c r="B293" i="26" s="1"/>
  <c r="B294" i="26" s="1"/>
  <c r="B295" i="26" s="1"/>
  <c r="B296" i="26" s="1"/>
  <c r="B297" i="26" s="1"/>
  <c r="B298" i="26" s="1"/>
  <c r="B299" i="26" s="1"/>
  <c r="B300" i="26" s="1"/>
  <c r="B301" i="26" s="1"/>
  <c r="A253" i="26"/>
  <c r="D203" i="26"/>
  <c r="B203" i="26"/>
  <c r="B204" i="26" s="1"/>
  <c r="B205" i="26" s="1"/>
  <c r="B206" i="26" s="1"/>
  <c r="B207" i="26" s="1"/>
  <c r="B208" i="26" s="1"/>
  <c r="B209" i="26" s="1"/>
  <c r="B210" i="26" s="1"/>
  <c r="B211" i="26" s="1"/>
  <c r="B212" i="26" s="1"/>
  <c r="B213" i="26" s="1"/>
  <c r="B214" i="26" s="1"/>
  <c r="B215" i="26" s="1"/>
  <c r="B216" i="26" s="1"/>
  <c r="B217" i="26" s="1"/>
  <c r="B218" i="26" s="1"/>
  <c r="B219" i="26" s="1"/>
  <c r="B220" i="26" s="1"/>
  <c r="B221" i="26" s="1"/>
  <c r="B222" i="26" s="1"/>
  <c r="B223" i="26" s="1"/>
  <c r="B224" i="26" s="1"/>
  <c r="B225" i="26" s="1"/>
  <c r="B226" i="26" s="1"/>
  <c r="B227" i="26" s="1"/>
  <c r="B228" i="26" s="1"/>
  <c r="B229" i="26" s="1"/>
  <c r="B230" i="26" s="1"/>
  <c r="B231" i="26" s="1"/>
  <c r="B232" i="26" s="1"/>
  <c r="B233" i="26" s="1"/>
  <c r="B234" i="26" s="1"/>
  <c r="B235" i="26" s="1"/>
  <c r="B236" i="26" s="1"/>
  <c r="B237" i="26" s="1"/>
  <c r="B238" i="26" s="1"/>
  <c r="B239" i="26" s="1"/>
  <c r="B240" i="26" s="1"/>
  <c r="B241" i="26" s="1"/>
  <c r="B242" i="26" s="1"/>
  <c r="B243" i="26" s="1"/>
  <c r="B244" i="26" s="1"/>
  <c r="B245" i="26" s="1"/>
  <c r="B246" i="26" s="1"/>
  <c r="B247" i="26" s="1"/>
  <c r="B248" i="26" s="1"/>
  <c r="B249" i="26" s="1"/>
  <c r="B250" i="26" s="1"/>
  <c r="B251" i="26" s="1"/>
  <c r="A203" i="26"/>
  <c r="D153" i="26"/>
  <c r="B153" i="26"/>
  <c r="B154" i="26" s="1"/>
  <c r="B155" i="26" s="1"/>
  <c r="B156" i="26" s="1"/>
  <c r="B157" i="26" s="1"/>
  <c r="B158" i="26" s="1"/>
  <c r="B159" i="26" s="1"/>
  <c r="B160" i="26" s="1"/>
  <c r="B161" i="26" s="1"/>
  <c r="B162" i="26" s="1"/>
  <c r="B163" i="26" s="1"/>
  <c r="B164" i="26" s="1"/>
  <c r="B165" i="26" s="1"/>
  <c r="B166" i="26" s="1"/>
  <c r="B167" i="26" s="1"/>
  <c r="B168" i="26" s="1"/>
  <c r="B169" i="26" s="1"/>
  <c r="B170" i="26" s="1"/>
  <c r="B171" i="26" s="1"/>
  <c r="B172" i="26" s="1"/>
  <c r="B173" i="26" s="1"/>
  <c r="B174" i="26" s="1"/>
  <c r="B175" i="26" s="1"/>
  <c r="B176" i="26" s="1"/>
  <c r="B177" i="26" s="1"/>
  <c r="B178" i="26" s="1"/>
  <c r="B179" i="26" s="1"/>
  <c r="B180" i="26" s="1"/>
  <c r="B181" i="26" s="1"/>
  <c r="B182" i="26" s="1"/>
  <c r="B183" i="26" s="1"/>
  <c r="B184" i="26" s="1"/>
  <c r="B185" i="26" s="1"/>
  <c r="B186" i="26" s="1"/>
  <c r="B187" i="26" s="1"/>
  <c r="B188" i="26" s="1"/>
  <c r="B189" i="26" s="1"/>
  <c r="B190" i="26" s="1"/>
  <c r="B191" i="26" s="1"/>
  <c r="B192" i="26" s="1"/>
  <c r="B193" i="26" s="1"/>
  <c r="B194" i="26" s="1"/>
  <c r="B195" i="26" s="1"/>
  <c r="B196" i="26" s="1"/>
  <c r="B197" i="26" s="1"/>
  <c r="B198" i="26" s="1"/>
  <c r="B199" i="26" s="1"/>
  <c r="B200" i="26" s="1"/>
  <c r="B201" i="26" s="1"/>
  <c r="A153" i="26"/>
  <c r="D103" i="26"/>
  <c r="B103" i="26"/>
  <c r="B104" i="26" s="1"/>
  <c r="B105" i="26" s="1"/>
  <c r="B106" i="26" s="1"/>
  <c r="B107" i="26" s="1"/>
  <c r="B108" i="26" s="1"/>
  <c r="B109" i="26" s="1"/>
  <c r="B110" i="26" s="1"/>
  <c r="B111" i="26" s="1"/>
  <c r="B112" i="26" s="1"/>
  <c r="B113" i="26" s="1"/>
  <c r="B114" i="26" s="1"/>
  <c r="B115" i="26" s="1"/>
  <c r="B116" i="26" s="1"/>
  <c r="B117" i="26" s="1"/>
  <c r="B118" i="26" s="1"/>
  <c r="B119" i="26" s="1"/>
  <c r="B120" i="26" s="1"/>
  <c r="B121" i="26" s="1"/>
  <c r="B122" i="26" s="1"/>
  <c r="B123" i="26" s="1"/>
  <c r="B124" i="26" s="1"/>
  <c r="B125" i="26" s="1"/>
  <c r="B126" i="26" s="1"/>
  <c r="B127" i="26" s="1"/>
  <c r="B128" i="26" s="1"/>
  <c r="B129" i="26" s="1"/>
  <c r="B130" i="26" s="1"/>
  <c r="B131" i="26" s="1"/>
  <c r="B132" i="26" s="1"/>
  <c r="B133" i="26" s="1"/>
  <c r="B134" i="26" s="1"/>
  <c r="B135" i="26" s="1"/>
  <c r="B136" i="26" s="1"/>
  <c r="B137" i="26" s="1"/>
  <c r="B138" i="26" s="1"/>
  <c r="B139" i="26" s="1"/>
  <c r="B140" i="26" s="1"/>
  <c r="B141" i="26" s="1"/>
  <c r="B142" i="26" s="1"/>
  <c r="B143" i="26" s="1"/>
  <c r="B144" i="26" s="1"/>
  <c r="B145" i="26" s="1"/>
  <c r="B146" i="26" s="1"/>
  <c r="B147" i="26" s="1"/>
  <c r="B148" i="26" s="1"/>
  <c r="B149" i="26" s="1"/>
  <c r="B150" i="26" s="1"/>
  <c r="B151" i="26" s="1"/>
  <c r="A103" i="26"/>
  <c r="B100" i="26"/>
  <c r="B101" i="26" s="1"/>
  <c r="D53" i="26"/>
  <c r="A53" i="26"/>
  <c r="F299" i="26" l="1"/>
  <c r="F298" i="26" s="1"/>
  <c r="F291" i="26"/>
  <c r="F290" i="26" s="1"/>
  <c r="F287" i="26"/>
  <c r="F286" i="26" s="1"/>
  <c r="O253" i="26"/>
  <c r="O103" i="26"/>
  <c r="O203" i="26"/>
  <c r="O153" i="26"/>
  <c r="O118" i="26"/>
  <c r="O104" i="26"/>
  <c r="O155" i="26"/>
  <c r="O172" i="26"/>
  <c r="O168" i="26"/>
  <c r="A132" i="29"/>
  <c r="E131" i="29"/>
  <c r="A147" i="29"/>
  <c r="E146" i="29"/>
  <c r="E116" i="29"/>
  <c r="A117" i="29"/>
  <c r="A159" i="29"/>
  <c r="E158" i="29"/>
  <c r="E130" i="29"/>
  <c r="E145" i="29"/>
  <c r="E157" i="29"/>
  <c r="E60" i="29"/>
  <c r="A61" i="29"/>
  <c r="A90" i="29"/>
  <c r="E89" i="29"/>
  <c r="A75" i="29"/>
  <c r="E74" i="29"/>
  <c r="E102" i="29"/>
  <c r="A103" i="29"/>
  <c r="E73" i="29"/>
  <c r="E88" i="29"/>
  <c r="E59" i="29"/>
  <c r="E101" i="29"/>
  <c r="AV35" i="30"/>
  <c r="AZ34" i="30"/>
  <c r="AZ5" i="30"/>
  <c r="AV6" i="30"/>
  <c r="AV20" i="30"/>
  <c r="AZ19" i="30"/>
  <c r="AZ47" i="30"/>
  <c r="AV48" i="30"/>
  <c r="AZ18" i="30"/>
  <c r="AZ33" i="30"/>
  <c r="AZ46" i="30"/>
  <c r="E132" i="29" l="1"/>
  <c r="A133" i="29"/>
  <c r="A118" i="29"/>
  <c r="E117" i="29"/>
  <c r="A148" i="29"/>
  <c r="E147" i="29"/>
  <c r="A160" i="29"/>
  <c r="E159" i="29"/>
  <c r="A91" i="29"/>
  <c r="E90" i="29"/>
  <c r="A104" i="29"/>
  <c r="E103" i="29"/>
  <c r="A62" i="29"/>
  <c r="E61" i="29"/>
  <c r="E75" i="29"/>
  <c r="A76" i="29"/>
  <c r="AV49" i="30"/>
  <c r="AZ48" i="30"/>
  <c r="AV21" i="30"/>
  <c r="AZ20" i="30"/>
  <c r="AV36" i="30"/>
  <c r="AZ35" i="30"/>
  <c r="AV7" i="30"/>
  <c r="AZ6" i="30"/>
  <c r="B84" i="36"/>
  <c r="B81" i="36"/>
  <c r="B78" i="36"/>
  <c r="B75" i="36"/>
  <c r="B72" i="36"/>
  <c r="B69" i="36"/>
  <c r="B66" i="36"/>
  <c r="B63" i="36"/>
  <c r="B60" i="36"/>
  <c r="B57" i="36"/>
  <c r="B54" i="36"/>
  <c r="B51" i="36"/>
  <c r="B48" i="36"/>
  <c r="B45" i="36"/>
  <c r="B42" i="36"/>
  <c r="B39" i="36"/>
  <c r="B36" i="36"/>
  <c r="B33" i="36"/>
  <c r="B30" i="36"/>
  <c r="B27" i="36"/>
  <c r="B24" i="36"/>
  <c r="B21" i="36"/>
  <c r="B18" i="36"/>
  <c r="B15" i="36"/>
  <c r="B12" i="36"/>
  <c r="B9" i="36"/>
  <c r="B6" i="36"/>
  <c r="B3" i="36"/>
  <c r="A21" i="34"/>
  <c r="A22" i="34" s="1"/>
  <c r="A23" i="34" s="1"/>
  <c r="A24" i="34" s="1"/>
  <c r="A25" i="34" s="1"/>
  <c r="A15" i="34"/>
  <c r="A16" i="34" s="1"/>
  <c r="A17" i="34" s="1"/>
  <c r="A18" i="34" s="1"/>
  <c r="A19" i="34" s="1"/>
  <c r="A9" i="34"/>
  <c r="A10" i="34" s="1"/>
  <c r="A11" i="34" s="1"/>
  <c r="A12" i="34" s="1"/>
  <c r="A13" i="34" s="1"/>
  <c r="A3" i="34"/>
  <c r="A4" i="34" s="1"/>
  <c r="A5" i="34" s="1"/>
  <c r="A6" i="34" s="1"/>
  <c r="A7" i="34" s="1"/>
  <c r="B3" i="34"/>
  <c r="B4" i="34" s="1"/>
  <c r="B5" i="34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A75" i="34" s="1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86" i="34" s="1"/>
  <c r="A87" i="34" s="1"/>
  <c r="A88" i="34" s="1"/>
  <c r="A89" i="34" s="1"/>
  <c r="A90" i="34" s="1"/>
  <c r="A91" i="34" s="1"/>
  <c r="A92" i="34" s="1"/>
  <c r="A93" i="34" s="1"/>
  <c r="A94" i="34" s="1"/>
  <c r="A95" i="34" s="1"/>
  <c r="A96" i="34" s="1"/>
  <c r="A97" i="34" s="1"/>
  <c r="A98" i="34" s="1"/>
  <c r="A99" i="34" s="1"/>
  <c r="A100" i="34" s="1"/>
  <c r="A101" i="34" s="1"/>
  <c r="A102" i="34" s="1"/>
  <c r="A103" i="34" s="1"/>
  <c r="A104" i="34" s="1"/>
  <c r="A105" i="34" s="1"/>
  <c r="A106" i="34" s="1"/>
  <c r="A107" i="34" s="1"/>
  <c r="A108" i="34" s="1"/>
  <c r="A109" i="34" s="1"/>
  <c r="A110" i="34" s="1"/>
  <c r="A111" i="34" s="1"/>
  <c r="A112" i="34" s="1"/>
  <c r="A113" i="34" s="1"/>
  <c r="A114" i="34" s="1"/>
  <c r="A115" i="34" s="1"/>
  <c r="A116" i="34" s="1"/>
  <c r="A117" i="34" s="1"/>
  <c r="A118" i="34" s="1"/>
  <c r="A119" i="34" s="1"/>
  <c r="A120" i="34" s="1"/>
  <c r="A121" i="34" s="1"/>
  <c r="A122" i="34" s="1"/>
  <c r="A123" i="34" s="1"/>
  <c r="A124" i="34" s="1"/>
  <c r="A125" i="34" s="1"/>
  <c r="A126" i="34" s="1"/>
  <c r="A127" i="34" s="1"/>
  <c r="A128" i="34" s="1"/>
  <c r="A129" i="34" s="1"/>
  <c r="A130" i="34" s="1"/>
  <c r="A131" i="34" s="1"/>
  <c r="A132" i="34" s="1"/>
  <c r="A133" i="34" s="1"/>
  <c r="A134" i="34" s="1"/>
  <c r="A135" i="34" s="1"/>
  <c r="A136" i="34" s="1"/>
  <c r="A137" i="34" s="1"/>
  <c r="A138" i="34" s="1"/>
  <c r="A139" i="34" s="1"/>
  <c r="A140" i="34" s="1"/>
  <c r="A141" i="34" s="1"/>
  <c r="A142" i="34" s="1"/>
  <c r="A143" i="34" s="1"/>
  <c r="A144" i="34" s="1"/>
  <c r="A145" i="34" s="1"/>
  <c r="A146" i="34" s="1"/>
  <c r="A147" i="34" s="1"/>
  <c r="A148" i="34" s="1"/>
  <c r="A149" i="34" s="1"/>
  <c r="A150" i="34" s="1"/>
  <c r="A151" i="34" s="1"/>
  <c r="A152" i="34" s="1"/>
  <c r="A153" i="34" s="1"/>
  <c r="A154" i="34" s="1"/>
  <c r="A155" i="34" s="1"/>
  <c r="A156" i="34" s="1"/>
  <c r="A157" i="34" s="1"/>
  <c r="A158" i="34" s="1"/>
  <c r="A159" i="34" s="1"/>
  <c r="A160" i="34" s="1"/>
  <c r="A161" i="34" s="1"/>
  <c r="A162" i="34" s="1"/>
  <c r="A163" i="34" s="1"/>
  <c r="A164" i="34" s="1"/>
  <c r="A165" i="34" s="1"/>
  <c r="A166" i="34" s="1"/>
  <c r="A167" i="34" s="1"/>
  <c r="A168" i="34" s="1"/>
  <c r="A169" i="34" s="1"/>
  <c r="A170" i="34" s="1"/>
  <c r="A171" i="34" s="1"/>
  <c r="A172" i="34" s="1"/>
  <c r="A173" i="34" s="1"/>
  <c r="A174" i="34" s="1"/>
  <c r="A175" i="34" s="1"/>
  <c r="A176" i="34" s="1"/>
  <c r="A177" i="34" s="1"/>
  <c r="A178" i="34" s="1"/>
  <c r="A179" i="34" s="1"/>
  <c r="A180" i="34" s="1"/>
  <c r="A181" i="34" s="1"/>
  <c r="A182" i="34" s="1"/>
  <c r="A183" i="34" s="1"/>
  <c r="A184" i="34" s="1"/>
  <c r="A185" i="34" s="1"/>
  <c r="A186" i="34" s="1"/>
  <c r="A187" i="34" s="1"/>
  <c r="B121" i="34"/>
  <c r="B117" i="34"/>
  <c r="B118" i="34" s="1"/>
  <c r="B119" i="34" s="1"/>
  <c r="B97" i="34"/>
  <c r="B93" i="34"/>
  <c r="B94" i="34" s="1"/>
  <c r="B95" i="34" s="1"/>
  <c r="B187" i="34"/>
  <c r="B183" i="34"/>
  <c r="B184" i="34" s="1"/>
  <c r="B185" i="34" s="1"/>
  <c r="B177" i="34"/>
  <c r="B178" i="34" s="1"/>
  <c r="B179" i="34" s="1"/>
  <c r="B175" i="34"/>
  <c r="B171" i="34"/>
  <c r="B172" i="34" s="1"/>
  <c r="B173" i="34" s="1"/>
  <c r="B85" i="34"/>
  <c r="B81" i="34"/>
  <c r="B82" i="34" s="1"/>
  <c r="B83" i="34" s="1"/>
  <c r="B169" i="34"/>
  <c r="B165" i="34"/>
  <c r="B166" i="34" s="1"/>
  <c r="B167" i="34" s="1"/>
  <c r="B163" i="34"/>
  <c r="B159" i="34"/>
  <c r="B160" i="34" s="1"/>
  <c r="B161" i="34" s="1"/>
  <c r="B153" i="34"/>
  <c r="B154" i="34" s="1"/>
  <c r="B155" i="34" s="1"/>
  <c r="B151" i="34"/>
  <c r="B147" i="34"/>
  <c r="B148" i="34" s="1"/>
  <c r="B149" i="34" s="1"/>
  <c r="B145" i="34"/>
  <c r="B141" i="34"/>
  <c r="B142" i="34" s="1"/>
  <c r="B143" i="34" s="1"/>
  <c r="B139" i="34"/>
  <c r="B135" i="34"/>
  <c r="B136" i="34" s="1"/>
  <c r="B137" i="34" s="1"/>
  <c r="B133" i="34"/>
  <c r="B129" i="34"/>
  <c r="B130" i="34" s="1"/>
  <c r="B131" i="34" s="1"/>
  <c r="B123" i="34"/>
  <c r="B124" i="34" s="1"/>
  <c r="B125" i="34" s="1"/>
  <c r="B115" i="34"/>
  <c r="B111" i="34"/>
  <c r="B112" i="34" s="1"/>
  <c r="B113" i="34" s="1"/>
  <c r="B109" i="34"/>
  <c r="B105" i="34"/>
  <c r="B106" i="34" s="1"/>
  <c r="B107" i="34" s="1"/>
  <c r="B103" i="34"/>
  <c r="B99" i="34"/>
  <c r="B100" i="34" s="1"/>
  <c r="B101" i="34" s="1"/>
  <c r="B91" i="34"/>
  <c r="B87" i="34"/>
  <c r="B88" i="34" s="1"/>
  <c r="B89" i="34" s="1"/>
  <c r="B79" i="34"/>
  <c r="B75" i="34"/>
  <c r="B76" i="34" s="1"/>
  <c r="B77" i="34" s="1"/>
  <c r="B73" i="34"/>
  <c r="B69" i="34"/>
  <c r="B70" i="34" s="1"/>
  <c r="B71" i="34" s="1"/>
  <c r="B67" i="34"/>
  <c r="B63" i="34"/>
  <c r="B64" i="34" s="1"/>
  <c r="B65" i="34" s="1"/>
  <c r="B61" i="34"/>
  <c r="B57" i="34"/>
  <c r="B58" i="34" s="1"/>
  <c r="B59" i="34" s="1"/>
  <c r="B51" i="34"/>
  <c r="B52" i="34" s="1"/>
  <c r="B53" i="34" s="1"/>
  <c r="B49" i="34"/>
  <c r="B45" i="34"/>
  <c r="B46" i="34" s="1"/>
  <c r="B47" i="34" s="1"/>
  <c r="B43" i="34"/>
  <c r="B39" i="34"/>
  <c r="B40" i="34" s="1"/>
  <c r="B41" i="34" s="1"/>
  <c r="B37" i="34"/>
  <c r="B33" i="34"/>
  <c r="B34" i="34" s="1"/>
  <c r="B35" i="34" s="1"/>
  <c r="B31" i="34"/>
  <c r="B27" i="34"/>
  <c r="B28" i="34" s="1"/>
  <c r="B29" i="34" s="1"/>
  <c r="B25" i="34"/>
  <c r="B21" i="34"/>
  <c r="B22" i="34" s="1"/>
  <c r="B23" i="34" s="1"/>
  <c r="B19" i="34"/>
  <c r="B15" i="34"/>
  <c r="B16" i="34" s="1"/>
  <c r="B17" i="34" s="1"/>
  <c r="B13" i="34"/>
  <c r="B9" i="34"/>
  <c r="B10" i="34" s="1"/>
  <c r="B11" i="34" s="1"/>
  <c r="B7" i="34"/>
  <c r="M14" i="26"/>
  <c r="B85" i="36" l="1"/>
  <c r="B82" i="36"/>
  <c r="B79" i="36"/>
  <c r="B76" i="36"/>
  <c r="B73" i="36"/>
  <c r="B70" i="36"/>
  <c r="B67" i="36"/>
  <c r="B64" i="36"/>
  <c r="B61" i="36"/>
  <c r="B58" i="36"/>
  <c r="B55" i="36"/>
  <c r="B52" i="36"/>
  <c r="B49" i="36"/>
  <c r="B46" i="36"/>
  <c r="B43" i="36"/>
  <c r="B40" i="36"/>
  <c r="B37" i="36"/>
  <c r="B34" i="36"/>
  <c r="B31" i="36"/>
  <c r="B28" i="36"/>
  <c r="B25" i="36"/>
  <c r="B22" i="36"/>
  <c r="B19" i="36"/>
  <c r="B16" i="36"/>
  <c r="B13" i="36"/>
  <c r="B10" i="36"/>
  <c r="B4" i="36"/>
  <c r="B7" i="36"/>
  <c r="E160" i="29"/>
  <c r="A161" i="29"/>
  <c r="E148" i="29"/>
  <c r="A149" i="29"/>
  <c r="A119" i="29"/>
  <c r="E118" i="29"/>
  <c r="A134" i="29"/>
  <c r="E133" i="29"/>
  <c r="A77" i="29"/>
  <c r="E76" i="29"/>
  <c r="A92" i="29"/>
  <c r="E91" i="29"/>
  <c r="E104" i="29"/>
  <c r="A105" i="29"/>
  <c r="A63" i="29"/>
  <c r="E62" i="29"/>
  <c r="AV8" i="30"/>
  <c r="AZ7" i="30"/>
  <c r="AV37" i="30"/>
  <c r="AZ36" i="30"/>
  <c r="AV22" i="30"/>
  <c r="AZ21" i="30"/>
  <c r="AZ49" i="30"/>
  <c r="AV50" i="30"/>
  <c r="B4" i="29"/>
  <c r="B5" i="29" s="1"/>
  <c r="B6" i="29" s="1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3" i="29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F127" i="24"/>
  <c r="F126" i="24"/>
  <c r="F125" i="24"/>
  <c r="F124" i="24"/>
  <c r="F123" i="24"/>
  <c r="A30" i="24" l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A98" i="24" s="1"/>
  <c r="A120" i="29"/>
  <c r="E119" i="29"/>
  <c r="A150" i="29"/>
  <c r="E149" i="29"/>
  <c r="A162" i="29"/>
  <c r="E161" i="29"/>
  <c r="A135" i="29"/>
  <c r="E134" i="29"/>
  <c r="E63" i="29"/>
  <c r="A64" i="29"/>
  <c r="A106" i="29"/>
  <c r="E105" i="29"/>
  <c r="E92" i="29"/>
  <c r="A93" i="29"/>
  <c r="A78" i="29"/>
  <c r="E77" i="29"/>
  <c r="AV23" i="30"/>
  <c r="AZ22" i="30"/>
  <c r="AZ37" i="30"/>
  <c r="AV38" i="30"/>
  <c r="AV51" i="30"/>
  <c r="AZ50" i="30"/>
  <c r="AV9" i="30"/>
  <c r="AZ8" i="30"/>
  <c r="F22" i="32"/>
  <c r="E20" i="32"/>
  <c r="E18" i="32"/>
  <c r="D16" i="32"/>
  <c r="D14" i="32"/>
  <c r="D12" i="32"/>
  <c r="D10" i="32"/>
  <c r="D8" i="32"/>
  <c r="C14" i="32"/>
  <c r="C12" i="32"/>
  <c r="C10" i="32"/>
  <c r="C8" i="32"/>
  <c r="F59" i="31"/>
  <c r="F57" i="31"/>
  <c r="F56" i="31"/>
  <c r="F55" i="31"/>
  <c r="F54" i="31"/>
  <c r="F53" i="31"/>
  <c r="F51" i="31"/>
  <c r="F50" i="31"/>
  <c r="F49" i="31"/>
  <c r="F48" i="31"/>
  <c r="F47" i="31"/>
  <c r="F46" i="31"/>
  <c r="F45" i="31"/>
  <c r="F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6" i="31" s="1"/>
  <c r="F27" i="31"/>
  <c r="E27" i="31"/>
  <c r="E26" i="31"/>
  <c r="F25" i="31"/>
  <c r="F24" i="31"/>
  <c r="E23" i="31"/>
  <c r="E22" i="31"/>
  <c r="F22" i="31" s="1"/>
  <c r="F21" i="31"/>
  <c r="F20" i="31"/>
  <c r="F19" i="31"/>
  <c r="F18" i="31"/>
  <c r="E18" i="31"/>
  <c r="F16" i="31"/>
  <c r="E15" i="31"/>
  <c r="F15" i="31" s="1"/>
  <c r="F14" i="31"/>
  <c r="F12" i="31"/>
  <c r="F10" i="31"/>
  <c r="F9" i="31"/>
  <c r="F7" i="31"/>
  <c r="F6" i="31"/>
  <c r="E5" i="31"/>
  <c r="E3" i="31"/>
  <c r="D3" i="31"/>
  <c r="C3" i="31"/>
  <c r="B3" i="31"/>
  <c r="B4" i="31" s="1"/>
  <c r="B5" i="31" s="1"/>
  <c r="B6" i="31" s="1"/>
  <c r="B7" i="31" s="1"/>
  <c r="B8" i="31" s="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B44" i="31" s="1"/>
  <c r="B45" i="31" s="1"/>
  <c r="B46" i="31" s="1"/>
  <c r="B47" i="31" s="1"/>
  <c r="B48" i="31" s="1"/>
  <c r="B49" i="31" s="1"/>
  <c r="B50" i="31" s="1"/>
  <c r="B51" i="31" s="1"/>
  <c r="A3" i="31"/>
  <c r="D53" i="22"/>
  <c r="C53" i="22"/>
  <c r="B53" i="22"/>
  <c r="B54" i="22" s="1"/>
  <c r="B55" i="22" s="1"/>
  <c r="B56" i="22" s="1"/>
  <c r="B57" i="22" s="1"/>
  <c r="B58" i="22" s="1"/>
  <c r="B59" i="22" s="1"/>
  <c r="B60" i="22" s="1"/>
  <c r="B61" i="22" s="1"/>
  <c r="B62" i="22" s="1"/>
  <c r="B63" i="22" s="1"/>
  <c r="B64" i="22" s="1"/>
  <c r="B65" i="22" s="1"/>
  <c r="B66" i="22" s="1"/>
  <c r="B67" i="22" s="1"/>
  <c r="B68" i="22" s="1"/>
  <c r="B69" i="22" s="1"/>
  <c r="B70" i="22" s="1"/>
  <c r="B71" i="22" s="1"/>
  <c r="B72" i="22" s="1"/>
  <c r="B73" i="22" s="1"/>
  <c r="B74" i="22" s="1"/>
  <c r="B75" i="22" s="1"/>
  <c r="B76" i="22" s="1"/>
  <c r="B77" i="22" s="1"/>
  <c r="B78" i="22" s="1"/>
  <c r="B79" i="22" s="1"/>
  <c r="B80" i="22" s="1"/>
  <c r="B81" i="22" s="1"/>
  <c r="B82" i="22" s="1"/>
  <c r="B83" i="22" s="1"/>
  <c r="B84" i="22" s="1"/>
  <c r="B85" i="22" s="1"/>
  <c r="B86" i="22" s="1"/>
  <c r="B87" i="22" s="1"/>
  <c r="B88" i="22" s="1"/>
  <c r="B89" i="22" s="1"/>
  <c r="B90" i="22" s="1"/>
  <c r="B91" i="22" s="1"/>
  <c r="B92" i="22" s="1"/>
  <c r="B93" i="22" s="1"/>
  <c r="B94" i="22" s="1"/>
  <c r="B95" i="22" s="1"/>
  <c r="B96" i="22" s="1"/>
  <c r="B97" i="22" s="1"/>
  <c r="B98" i="22" s="1"/>
  <c r="B99" i="22" s="1"/>
  <c r="B100" i="22" s="1"/>
  <c r="B101" i="22" s="1"/>
  <c r="A53" i="22"/>
  <c r="H151" i="24"/>
  <c r="F32" i="24"/>
  <c r="H32" i="24"/>
  <c r="H33" i="24"/>
  <c r="A99" i="24" l="1"/>
  <c r="A100" i="24" s="1"/>
  <c r="A101" i="24" s="1"/>
  <c r="A102" i="24" s="1"/>
  <c r="A103" i="24" s="1"/>
  <c r="A104" i="24" s="1"/>
  <c r="A105" i="24" s="1"/>
  <c r="A106" i="24" s="1"/>
  <c r="A107" i="24" s="1"/>
  <c r="A108" i="24" s="1"/>
  <c r="A109" i="24" s="1"/>
  <c r="A110" i="24" s="1"/>
  <c r="A111" i="24" s="1"/>
  <c r="A112" i="24" s="1"/>
  <c r="A113" i="24" s="1"/>
  <c r="A114" i="24" s="1"/>
  <c r="A115" i="24" s="1"/>
  <c r="A116" i="24" s="1"/>
  <c r="A117" i="24" s="1"/>
  <c r="A118" i="24" s="1"/>
  <c r="A119" i="24" s="1"/>
  <c r="A120" i="24" s="1"/>
  <c r="A121" i="24" s="1"/>
  <c r="A55" i="24"/>
  <c r="A121" i="29"/>
  <c r="E120" i="29"/>
  <c r="E135" i="29"/>
  <c r="A136" i="29"/>
  <c r="A163" i="29"/>
  <c r="E162" i="29"/>
  <c r="A151" i="29"/>
  <c r="E150" i="29"/>
  <c r="A94" i="29"/>
  <c r="E93" i="29"/>
  <c r="A79" i="29"/>
  <c r="E78" i="29"/>
  <c r="A107" i="29"/>
  <c r="E106" i="29"/>
  <c r="A65" i="29"/>
  <c r="E64" i="29"/>
  <c r="AV10" i="30"/>
  <c r="AZ9" i="30"/>
  <c r="AV52" i="30"/>
  <c r="AZ51" i="30"/>
  <c r="AV39" i="30"/>
  <c r="AZ38" i="30"/>
  <c r="AZ23" i="30"/>
  <c r="AV24" i="30"/>
  <c r="F23" i="31"/>
  <c r="F43" i="24"/>
  <c r="F44" i="24"/>
  <c r="B43" i="24"/>
  <c r="H160" i="24"/>
  <c r="A45" i="29"/>
  <c r="A46" i="29" s="1"/>
  <c r="E44" i="29"/>
  <c r="A31" i="29"/>
  <c r="A32" i="29" s="1"/>
  <c r="E30" i="29"/>
  <c r="A17" i="29"/>
  <c r="A18" i="29" s="1"/>
  <c r="E16" i="29"/>
  <c r="A122" i="24" l="1"/>
  <c r="A123" i="24" s="1"/>
  <c r="A124" i="24" s="1"/>
  <c r="A125" i="24" s="1"/>
  <c r="A126" i="24" s="1"/>
  <c r="A127" i="24" s="1"/>
  <c r="A128" i="24" s="1"/>
  <c r="A129" i="24" s="1"/>
  <c r="A130" i="24" s="1"/>
  <c r="A131" i="24" s="1"/>
  <c r="A132" i="24" s="1"/>
  <c r="A133" i="24" s="1"/>
  <c r="A134" i="24" s="1"/>
  <c r="A135" i="24" s="1"/>
  <c r="A136" i="24" s="1"/>
  <c r="A137" i="24" s="1"/>
  <c r="A138" i="24" s="1"/>
  <c r="A139" i="24" s="1"/>
  <c r="A140" i="24" s="1"/>
  <c r="A141" i="24" s="1"/>
  <c r="A142" i="24" s="1"/>
  <c r="A143" i="24" s="1"/>
  <c r="A144" i="24" s="1"/>
  <c r="A145" i="24" s="1"/>
  <c r="A146" i="24" s="1"/>
  <c r="A147" i="24" s="1"/>
  <c r="A148" i="24" s="1"/>
  <c r="A149" i="24" s="1"/>
  <c r="A150" i="24" s="1"/>
  <c r="A151" i="24" s="1"/>
  <c r="A152" i="24" s="1"/>
  <c r="A153" i="24" s="1"/>
  <c r="A154" i="24" s="1"/>
  <c r="A155" i="24" s="1"/>
  <c r="A156" i="24" s="1"/>
  <c r="A157" i="24" s="1"/>
  <c r="A158" i="24" s="1"/>
  <c r="A159" i="24" s="1"/>
  <c r="A160" i="24" s="1"/>
  <c r="A161" i="24" s="1"/>
  <c r="A162" i="24" s="1"/>
  <c r="A163" i="24" s="1"/>
  <c r="A164" i="24" s="1"/>
  <c r="A165" i="24" s="1"/>
  <c r="A166" i="24" s="1"/>
  <c r="A167" i="24" s="1"/>
  <c r="A168" i="24" s="1"/>
  <c r="A169" i="24" s="1"/>
  <c r="A170" i="24" s="1"/>
  <c r="A171" i="24" s="1"/>
  <c r="A172" i="24" s="1"/>
  <c r="A173" i="24" s="1"/>
  <c r="A174" i="24" s="1"/>
  <c r="A175" i="24" s="1"/>
  <c r="A176" i="24" s="1"/>
  <c r="A177" i="24" s="1"/>
  <c r="A178" i="24" s="1"/>
  <c r="A179" i="24" s="1"/>
  <c r="A180" i="24" s="1"/>
  <c r="A181" i="24" s="1"/>
  <c r="A182" i="24" s="1"/>
  <c r="A122" i="29"/>
  <c r="E121" i="29"/>
  <c r="E163" i="29"/>
  <c r="A164" i="29"/>
  <c r="A152" i="29"/>
  <c r="E151" i="29"/>
  <c r="E136" i="29"/>
  <c r="A137" i="29"/>
  <c r="E107" i="29"/>
  <c r="A108" i="29"/>
  <c r="A80" i="29"/>
  <c r="E79" i="29"/>
  <c r="A66" i="29"/>
  <c r="E65" i="29"/>
  <c r="A95" i="29"/>
  <c r="E94" i="29"/>
  <c r="AV11" i="30"/>
  <c r="AZ10" i="30"/>
  <c r="AV25" i="30"/>
  <c r="AZ24" i="30"/>
  <c r="AV40" i="30"/>
  <c r="AZ39" i="30"/>
  <c r="AZ52" i="30"/>
  <c r="AV53" i="30"/>
  <c r="A19" i="29"/>
  <c r="E18" i="29"/>
  <c r="A33" i="29"/>
  <c r="E32" i="29"/>
  <c r="A47" i="29"/>
  <c r="E46" i="29"/>
  <c r="E17" i="29"/>
  <c r="E31" i="29"/>
  <c r="E45" i="29"/>
  <c r="E3" i="29"/>
  <c r="E2" i="29"/>
  <c r="A4" i="29"/>
  <c r="A5" i="29" s="1"/>
  <c r="A6" i="29" s="1"/>
  <c r="A7" i="29" s="1"/>
  <c r="A8" i="29" s="1"/>
  <c r="A9" i="29" s="1"/>
  <c r="A10" i="29" s="1"/>
  <c r="E10" i="29" s="1"/>
  <c r="A3" i="29"/>
  <c r="F140" i="24"/>
  <c r="F143" i="24"/>
  <c r="C4" i="28"/>
  <c r="C3" i="28"/>
  <c r="C6" i="28" s="1"/>
  <c r="C2" i="28"/>
  <c r="C5" i="28" s="1"/>
  <c r="C1" i="28"/>
  <c r="F323" i="24"/>
  <c r="F322" i="24"/>
  <c r="F148" i="24"/>
  <c r="F147" i="24"/>
  <c r="F136" i="24"/>
  <c r="F103" i="24"/>
  <c r="F80" i="24"/>
  <c r="F79" i="24"/>
  <c r="F75" i="24"/>
  <c r="F74" i="24"/>
  <c r="F73" i="24"/>
  <c r="F66" i="24"/>
  <c r="F65" i="24"/>
  <c r="F39" i="24"/>
  <c r="F38" i="24"/>
  <c r="F37" i="24"/>
  <c r="F20" i="24"/>
  <c r="F19" i="24"/>
  <c r="F18" i="24"/>
  <c r="F7" i="24"/>
  <c r="F6" i="24"/>
  <c r="A183" i="24" l="1"/>
  <c r="A184" i="24" s="1"/>
  <c r="A185" i="24" s="1"/>
  <c r="A186" i="24" s="1"/>
  <c r="A187" i="24" s="1"/>
  <c r="A188" i="24" s="1"/>
  <c r="A189" i="24" s="1"/>
  <c r="A190" i="24" s="1"/>
  <c r="A191" i="24" s="1"/>
  <c r="A192" i="24" s="1"/>
  <c r="A193" i="24" s="1"/>
  <c r="A194" i="24" s="1"/>
  <c r="A195" i="24" s="1"/>
  <c r="A196" i="24" s="1"/>
  <c r="A197" i="24" s="1"/>
  <c r="A198" i="24" s="1"/>
  <c r="A199" i="24" s="1"/>
  <c r="A200" i="24" s="1"/>
  <c r="A201" i="24" s="1"/>
  <c r="A202" i="24" s="1"/>
  <c r="A203" i="24" s="1"/>
  <c r="A204" i="24" s="1"/>
  <c r="A205" i="24" s="1"/>
  <c r="A206" i="24" s="1"/>
  <c r="A207" i="24" s="1"/>
  <c r="A208" i="24" s="1"/>
  <c r="A209" i="24" s="1"/>
  <c r="A210" i="24" s="1"/>
  <c r="A211" i="24" s="1"/>
  <c r="A212" i="24" s="1"/>
  <c r="A213" i="24" s="1"/>
  <c r="A214" i="24" s="1"/>
  <c r="A215" i="24" s="1"/>
  <c r="A216" i="24" s="1"/>
  <c r="A217" i="24" s="1"/>
  <c r="A218" i="24" s="1"/>
  <c r="A219" i="24" s="1"/>
  <c r="A220" i="24" s="1"/>
  <c r="A221" i="24" s="1"/>
  <c r="A222" i="24" s="1"/>
  <c r="A223" i="24" s="1"/>
  <c r="A224" i="24" s="1"/>
  <c r="A225" i="24" s="1"/>
  <c r="A226" i="24" s="1"/>
  <c r="A227" i="24" s="1"/>
  <c r="A228" i="24" s="1"/>
  <c r="A229" i="24" s="1"/>
  <c r="A138" i="29"/>
  <c r="E137" i="29"/>
  <c r="A165" i="29"/>
  <c r="E164" i="29"/>
  <c r="A153" i="29"/>
  <c r="E152" i="29"/>
  <c r="A123" i="29"/>
  <c r="E122" i="29"/>
  <c r="E66" i="29"/>
  <c r="A67" i="29"/>
  <c r="A96" i="29"/>
  <c r="E95" i="29"/>
  <c r="E80" i="29"/>
  <c r="A81" i="29"/>
  <c r="A109" i="29"/>
  <c r="E108" i="29"/>
  <c r="AZ25" i="30"/>
  <c r="AV26" i="30"/>
  <c r="AV41" i="30"/>
  <c r="AZ40" i="30"/>
  <c r="AV54" i="30"/>
  <c r="AZ53" i="30"/>
  <c r="AZ11" i="30"/>
  <c r="AV12" i="30"/>
  <c r="A48" i="29"/>
  <c r="E47" i="29"/>
  <c r="A34" i="29"/>
  <c r="E33" i="29"/>
  <c r="A20" i="29"/>
  <c r="E19" i="29"/>
  <c r="E8" i="29"/>
  <c r="E9" i="29"/>
  <c r="E7" i="29"/>
  <c r="A11" i="29"/>
  <c r="E5" i="29"/>
  <c r="E6" i="29"/>
  <c r="E4" i="29"/>
  <c r="F3" i="24"/>
  <c r="A231" i="24" l="1"/>
  <c r="A232" i="24" s="1"/>
  <c r="A233" i="24" s="1"/>
  <c r="A234" i="24" s="1"/>
  <c r="A235" i="24" s="1"/>
  <c r="A236" i="24" s="1"/>
  <c r="A237" i="24" s="1"/>
  <c r="A238" i="24" s="1"/>
  <c r="A239" i="24" s="1"/>
  <c r="A240" i="24" s="1"/>
  <c r="A241" i="24" s="1"/>
  <c r="A242" i="24" s="1"/>
  <c r="A230" i="24"/>
  <c r="E165" i="29"/>
  <c r="A166" i="29"/>
  <c r="E138" i="29"/>
  <c r="A139" i="29"/>
  <c r="A124" i="29"/>
  <c r="E123" i="29"/>
  <c r="A154" i="29"/>
  <c r="E153" i="29"/>
  <c r="A82" i="29"/>
  <c r="E81" i="29"/>
  <c r="A97" i="29"/>
  <c r="E96" i="29"/>
  <c r="E109" i="29"/>
  <c r="A110" i="29"/>
  <c r="A68" i="29"/>
  <c r="E67" i="29"/>
  <c r="AV27" i="30"/>
  <c r="AZ26" i="30"/>
  <c r="AZ12" i="30"/>
  <c r="AV13" i="30"/>
  <c r="AV55" i="30"/>
  <c r="AZ54" i="30"/>
  <c r="AV42" i="30"/>
  <c r="AZ41" i="30"/>
  <c r="E34" i="29"/>
  <c r="A35" i="29"/>
  <c r="A49" i="29"/>
  <c r="E48" i="29"/>
  <c r="E20" i="29"/>
  <c r="A21" i="29"/>
  <c r="A12" i="29"/>
  <c r="E11" i="29"/>
  <c r="B4" i="22"/>
  <c r="B5" i="22" s="1"/>
  <c r="B6" i="22" s="1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F9" i="25"/>
  <c r="F7" i="25"/>
  <c r="F6" i="25"/>
  <c r="F5" i="25"/>
  <c r="F4" i="25"/>
  <c r="F3" i="25"/>
  <c r="T30" i="21"/>
  <c r="R30" i="21"/>
  <c r="P30" i="21"/>
  <c r="N30" i="21"/>
  <c r="L30" i="21"/>
  <c r="J30" i="21"/>
  <c r="H30" i="21"/>
  <c r="F30" i="21"/>
  <c r="T1" i="21"/>
  <c r="R1" i="21"/>
  <c r="P1" i="21"/>
  <c r="N1" i="21"/>
  <c r="L1" i="21"/>
  <c r="J1" i="21"/>
  <c r="H1" i="21"/>
  <c r="F1" i="21"/>
  <c r="D3" i="26"/>
  <c r="C3" i="26"/>
  <c r="B3" i="26"/>
  <c r="B4" i="26" s="1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A3" i="26"/>
  <c r="D30" i="38" s="1"/>
  <c r="A243" i="24" l="1"/>
  <c r="A244" i="24"/>
  <c r="A245" i="24" s="1"/>
  <c r="A246" i="24" s="1"/>
  <c r="A247" i="24" s="1"/>
  <c r="A248" i="24" s="1"/>
  <c r="A249" i="24" s="1"/>
  <c r="A250" i="24" s="1"/>
  <c r="A251" i="24" s="1"/>
  <c r="A252" i="24" s="1"/>
  <c r="A253" i="24" s="1"/>
  <c r="E154" i="29"/>
  <c r="A155" i="29"/>
  <c r="E155" i="29" s="1"/>
  <c r="A140" i="29"/>
  <c r="E139" i="29"/>
  <c r="A125" i="29"/>
  <c r="E124" i="29"/>
  <c r="A167" i="29"/>
  <c r="E166" i="29"/>
  <c r="A111" i="29"/>
  <c r="E110" i="29"/>
  <c r="E68" i="29"/>
  <c r="A69" i="29"/>
  <c r="E97" i="29"/>
  <c r="A98" i="29"/>
  <c r="E82" i="29"/>
  <c r="A83" i="29"/>
  <c r="AZ42" i="30"/>
  <c r="AV43" i="30"/>
  <c r="AV56" i="30"/>
  <c r="AZ55" i="30"/>
  <c r="AZ13" i="30"/>
  <c r="AV14" i="30"/>
  <c r="AZ27" i="30"/>
  <c r="AV28" i="30"/>
  <c r="A22" i="29"/>
  <c r="E21" i="29"/>
  <c r="A50" i="29"/>
  <c r="E49" i="29"/>
  <c r="A36" i="29"/>
  <c r="E35" i="29"/>
  <c r="A13" i="29"/>
  <c r="E12" i="29"/>
  <c r="D29" i="21"/>
  <c r="E29" i="21" s="1"/>
  <c r="D28" i="21"/>
  <c r="E28" i="21" s="1"/>
  <c r="D27" i="21"/>
  <c r="E27" i="21" s="1"/>
  <c r="D26" i="21"/>
  <c r="E26" i="21" s="1"/>
  <c r="D25" i="21"/>
  <c r="E25" i="21" s="1"/>
  <c r="D24" i="21"/>
  <c r="E24" i="21" s="1"/>
  <c r="D23" i="21"/>
  <c r="E23" i="21" s="1"/>
  <c r="D22" i="21"/>
  <c r="E22" i="21" s="1"/>
  <c r="D21" i="21"/>
  <c r="E21" i="21" s="1"/>
  <c r="D20" i="21"/>
  <c r="E20" i="21" s="1"/>
  <c r="D19" i="21"/>
  <c r="E19" i="21" s="1"/>
  <c r="D18" i="21"/>
  <c r="E18" i="21" s="1"/>
  <c r="D13" i="21"/>
  <c r="E13" i="21" s="1"/>
  <c r="D12" i="21"/>
  <c r="E12" i="21" s="1"/>
  <c r="D10" i="21"/>
  <c r="E10" i="21" s="1"/>
  <c r="D9" i="21"/>
  <c r="E9" i="21" s="1"/>
  <c r="D8" i="21"/>
  <c r="E8" i="21" s="1"/>
  <c r="D7" i="21"/>
  <c r="E7" i="21" s="1"/>
  <c r="D16" i="21"/>
  <c r="E16" i="21" s="1"/>
  <c r="F163" i="24"/>
  <c r="D15" i="21" s="1"/>
  <c r="E15" i="21" s="1"/>
  <c r="F162" i="24"/>
  <c r="D17" i="21"/>
  <c r="E17" i="21" s="1"/>
  <c r="F116" i="24"/>
  <c r="D11" i="21" s="1"/>
  <c r="E11" i="21" s="1"/>
  <c r="F115" i="24"/>
  <c r="F161" i="24"/>
  <c r="F164" i="24" s="1"/>
  <c r="D14" i="21"/>
  <c r="E14" i="21" s="1"/>
  <c r="C5" i="27"/>
  <c r="D5" i="27" s="1"/>
  <c r="E5" i="27" s="1"/>
  <c r="A255" i="24" l="1"/>
  <c r="A256" i="24" s="1"/>
  <c r="A257" i="24" s="1"/>
  <c r="A258" i="24" s="1"/>
  <c r="A259" i="24" s="1"/>
  <c r="A260" i="24" s="1"/>
  <c r="A261" i="24" s="1"/>
  <c r="A262" i="24" s="1"/>
  <c r="A263" i="24" s="1"/>
  <c r="A264" i="24" s="1"/>
  <c r="A265" i="24" s="1"/>
  <c r="A266" i="24" s="1"/>
  <c r="A254" i="24"/>
  <c r="E167" i="29"/>
  <c r="A168" i="29"/>
  <c r="E140" i="29"/>
  <c r="A141" i="29"/>
  <c r="E141" i="29" s="1"/>
  <c r="A126" i="29"/>
  <c r="E125" i="29"/>
  <c r="E111" i="29"/>
  <c r="A112" i="29"/>
  <c r="A99" i="29"/>
  <c r="E99" i="29" s="1"/>
  <c r="E98" i="29"/>
  <c r="A84" i="29"/>
  <c r="E83" i="29"/>
  <c r="A70" i="29"/>
  <c r="E69" i="29"/>
  <c r="AV44" i="30"/>
  <c r="AZ44" i="30" s="1"/>
  <c r="AZ43" i="30"/>
  <c r="AV29" i="30"/>
  <c r="AZ28" i="30"/>
  <c r="AV15" i="30"/>
  <c r="AZ14" i="30"/>
  <c r="AZ56" i="30"/>
  <c r="AV57" i="30"/>
  <c r="A23" i="29"/>
  <c r="E22" i="29"/>
  <c r="A51" i="29"/>
  <c r="E50" i="29"/>
  <c r="A37" i="29"/>
  <c r="E36" i="29"/>
  <c r="A14" i="29"/>
  <c r="E13" i="29"/>
  <c r="C4" i="27"/>
  <c r="D4" i="27" s="1"/>
  <c r="E4" i="27" s="1"/>
  <c r="C3" i="27"/>
  <c r="D3" i="27" s="1"/>
  <c r="E3" i="27" s="1"/>
  <c r="G28" i="21"/>
  <c r="F28" i="21"/>
  <c r="G9" i="21"/>
  <c r="F9" i="21"/>
  <c r="G29" i="21"/>
  <c r="F29" i="21"/>
  <c r="G22" i="21"/>
  <c r="F22" i="21"/>
  <c r="G20" i="21"/>
  <c r="F20" i="21"/>
  <c r="G11" i="21"/>
  <c r="F11" i="21"/>
  <c r="G21" i="21"/>
  <c r="F21" i="21"/>
  <c r="G17" i="21"/>
  <c r="F17" i="21"/>
  <c r="G10" i="21"/>
  <c r="F10" i="21"/>
  <c r="C6" i="27"/>
  <c r="D6" i="27" s="1"/>
  <c r="E6" i="27" s="1"/>
  <c r="G12" i="21"/>
  <c r="F12" i="21"/>
  <c r="G23" i="21"/>
  <c r="F23" i="21"/>
  <c r="G13" i="21"/>
  <c r="F13" i="21"/>
  <c r="G15" i="21"/>
  <c r="F15" i="21"/>
  <c r="G14" i="21"/>
  <c r="F14" i="21"/>
  <c r="G25" i="21"/>
  <c r="F25" i="21"/>
  <c r="G8" i="21"/>
  <c r="F8" i="21"/>
  <c r="G24" i="21"/>
  <c r="F24" i="21"/>
  <c r="G16" i="21"/>
  <c r="F16" i="21"/>
  <c r="G18" i="21"/>
  <c r="F18" i="21"/>
  <c r="G26" i="21"/>
  <c r="F26" i="21"/>
  <c r="G7" i="21"/>
  <c r="F7" i="21"/>
  <c r="G19" i="21"/>
  <c r="F19" i="21"/>
  <c r="G27" i="21"/>
  <c r="F27" i="21"/>
  <c r="A268" i="24" l="1"/>
  <c r="A269" i="24" s="1"/>
  <c r="A270" i="24" s="1"/>
  <c r="A271" i="24" s="1"/>
  <c r="A272" i="24" s="1"/>
  <c r="A273" i="24" s="1"/>
  <c r="A274" i="24" s="1"/>
  <c r="A275" i="24" s="1"/>
  <c r="A276" i="24" s="1"/>
  <c r="A277" i="24" s="1"/>
  <c r="A278" i="24" s="1"/>
  <c r="A279" i="24" s="1"/>
  <c r="A280" i="24" s="1"/>
  <c r="A281" i="24" s="1"/>
  <c r="A282" i="24" s="1"/>
  <c r="A283" i="24" s="1"/>
  <c r="A284" i="24" s="1"/>
  <c r="A285" i="24" s="1"/>
  <c r="A286" i="24" s="1"/>
  <c r="A287" i="24" s="1"/>
  <c r="A288" i="24" s="1"/>
  <c r="A289" i="24" s="1"/>
  <c r="A290" i="24" s="1"/>
  <c r="A291" i="24" s="1"/>
  <c r="A292" i="24" s="1"/>
  <c r="A293" i="24" s="1"/>
  <c r="A294" i="24" s="1"/>
  <c r="A295" i="24" s="1"/>
  <c r="A296" i="24" s="1"/>
  <c r="A297" i="24" s="1"/>
  <c r="A298" i="24" s="1"/>
  <c r="A299" i="24" s="1"/>
  <c r="A300" i="24" s="1"/>
  <c r="A301" i="24" s="1"/>
  <c r="A302" i="24" s="1"/>
  <c r="A303" i="24" s="1"/>
  <c r="A304" i="24" s="1"/>
  <c r="A305" i="24" s="1"/>
  <c r="A306" i="24" s="1"/>
  <c r="A307" i="24" s="1"/>
  <c r="A308" i="24" s="1"/>
  <c r="A309" i="24" s="1"/>
  <c r="A310" i="24" s="1"/>
  <c r="A311" i="24" s="1"/>
  <c r="A312" i="24" s="1"/>
  <c r="A313" i="24" s="1"/>
  <c r="A314" i="24" s="1"/>
  <c r="A315" i="24" s="1"/>
  <c r="A316" i="24" s="1"/>
  <c r="A317" i="24" s="1"/>
  <c r="A318" i="24" s="1"/>
  <c r="A319" i="24" s="1"/>
  <c r="A320" i="24" s="1"/>
  <c r="A321" i="24" s="1"/>
  <c r="A322" i="24" s="1"/>
  <c r="A323" i="24" s="1"/>
  <c r="A324" i="24" s="1"/>
  <c r="A325" i="24" s="1"/>
  <c r="A326" i="24" s="1"/>
  <c r="A327" i="24" s="1"/>
  <c r="A328" i="24" s="1"/>
  <c r="A329" i="24" s="1"/>
  <c r="A267" i="24"/>
  <c r="A127" i="29"/>
  <c r="E127" i="29" s="1"/>
  <c r="E126" i="29"/>
  <c r="A169" i="29"/>
  <c r="E169" i="29" s="1"/>
  <c r="E168" i="29"/>
  <c r="A71" i="29"/>
  <c r="E71" i="29" s="1"/>
  <c r="E70" i="29"/>
  <c r="E84" i="29"/>
  <c r="A85" i="29"/>
  <c r="E85" i="29" s="1"/>
  <c r="A113" i="29"/>
  <c r="E113" i="29" s="1"/>
  <c r="E112" i="29"/>
  <c r="AV30" i="30"/>
  <c r="AZ30" i="30" s="1"/>
  <c r="AZ29" i="30"/>
  <c r="AV58" i="30"/>
  <c r="AZ58" i="30" s="1"/>
  <c r="AZ57" i="30"/>
  <c r="AZ15" i="30"/>
  <c r="AV16" i="30"/>
  <c r="AZ16" i="30" s="1"/>
  <c r="A38" i="29"/>
  <c r="E37" i="29"/>
  <c r="A52" i="29"/>
  <c r="E51" i="29"/>
  <c r="A24" i="29"/>
  <c r="E23" i="29"/>
  <c r="A15" i="29"/>
  <c r="E15" i="29" s="1"/>
  <c r="E14" i="29"/>
  <c r="I10" i="21"/>
  <c r="H10" i="21"/>
  <c r="I26" i="21"/>
  <c r="H26" i="21"/>
  <c r="I8" i="21"/>
  <c r="H8" i="21"/>
  <c r="I13" i="21"/>
  <c r="H13" i="21"/>
  <c r="I15" i="21"/>
  <c r="H15" i="21"/>
  <c r="I20" i="21"/>
  <c r="H20" i="21"/>
  <c r="I17" i="21"/>
  <c r="H17" i="21"/>
  <c r="I22" i="21"/>
  <c r="H22" i="21"/>
  <c r="I7" i="21"/>
  <c r="H7" i="21"/>
  <c r="I28" i="21"/>
  <c r="H28" i="21"/>
  <c r="I27" i="21"/>
  <c r="H27" i="21"/>
  <c r="I18" i="21"/>
  <c r="H18" i="21"/>
  <c r="I25" i="21"/>
  <c r="H25" i="21"/>
  <c r="I23" i="21"/>
  <c r="H23" i="21"/>
  <c r="I21" i="21"/>
  <c r="H21" i="21"/>
  <c r="I29" i="21"/>
  <c r="H29" i="21"/>
  <c r="I24" i="21"/>
  <c r="H24" i="21"/>
  <c r="I19" i="21"/>
  <c r="H19" i="21"/>
  <c r="I16" i="21"/>
  <c r="H16" i="21"/>
  <c r="I14" i="21"/>
  <c r="H14" i="21"/>
  <c r="I12" i="21"/>
  <c r="H12" i="21"/>
  <c r="I11" i="21"/>
  <c r="H11" i="21"/>
  <c r="I9" i="21"/>
  <c r="H9" i="21"/>
  <c r="A53" i="29" l="1"/>
  <c r="E52" i="29"/>
  <c r="A25" i="29"/>
  <c r="E24" i="29"/>
  <c r="E38" i="29"/>
  <c r="A39" i="29"/>
  <c r="K25" i="21"/>
  <c r="J25" i="21"/>
  <c r="K10" i="21"/>
  <c r="J10" i="21"/>
  <c r="K14" i="21"/>
  <c r="J14" i="21"/>
  <c r="K29" i="21"/>
  <c r="J29" i="21"/>
  <c r="K18" i="21"/>
  <c r="J18" i="21"/>
  <c r="K22" i="21"/>
  <c r="J22" i="21"/>
  <c r="K13" i="21"/>
  <c r="J13" i="21"/>
  <c r="K12" i="21"/>
  <c r="J12" i="21"/>
  <c r="K7" i="21"/>
  <c r="J7" i="21"/>
  <c r="K9" i="21"/>
  <c r="J9" i="21"/>
  <c r="K27" i="21"/>
  <c r="J27" i="21"/>
  <c r="K8" i="21"/>
  <c r="J8" i="21"/>
  <c r="K24" i="21"/>
  <c r="J24" i="21"/>
  <c r="K15" i="21"/>
  <c r="J15" i="21"/>
  <c r="K16" i="21"/>
  <c r="J16" i="21"/>
  <c r="K21" i="21"/>
  <c r="J21" i="21"/>
  <c r="K17" i="21"/>
  <c r="J17" i="21"/>
  <c r="K11" i="21"/>
  <c r="J11" i="21"/>
  <c r="K19" i="21"/>
  <c r="J19" i="21"/>
  <c r="K23" i="21"/>
  <c r="J23" i="21"/>
  <c r="K28" i="21"/>
  <c r="J28" i="21"/>
  <c r="K20" i="21"/>
  <c r="J20" i="21"/>
  <c r="K26" i="21"/>
  <c r="J26" i="21"/>
  <c r="D6" i="21"/>
  <c r="E6" i="21" s="1"/>
  <c r="A26" i="29" l="1"/>
  <c r="E25" i="29"/>
  <c r="A40" i="29"/>
  <c r="E39" i="29"/>
  <c r="A54" i="29"/>
  <c r="E53" i="29"/>
  <c r="M17" i="21"/>
  <c r="L17" i="21"/>
  <c r="M18" i="21"/>
  <c r="L18" i="21"/>
  <c r="M25" i="21"/>
  <c r="L25" i="21"/>
  <c r="M23" i="21"/>
  <c r="L23" i="21"/>
  <c r="M21" i="21"/>
  <c r="L21" i="21"/>
  <c r="M8" i="21"/>
  <c r="L8" i="21"/>
  <c r="M12" i="21"/>
  <c r="L12" i="21"/>
  <c r="M29" i="21"/>
  <c r="L29" i="21"/>
  <c r="M28" i="21"/>
  <c r="L28" i="21"/>
  <c r="M7" i="21"/>
  <c r="L7" i="21"/>
  <c r="G6" i="21"/>
  <c r="F6" i="21"/>
  <c r="M26" i="21"/>
  <c r="L26" i="21"/>
  <c r="M19" i="21"/>
  <c r="L19" i="21"/>
  <c r="M16" i="21"/>
  <c r="L16" i="21"/>
  <c r="M27" i="21"/>
  <c r="L27" i="21"/>
  <c r="M13" i="21"/>
  <c r="L13" i="21"/>
  <c r="M14" i="21"/>
  <c r="L14" i="21"/>
  <c r="M24" i="21"/>
  <c r="L24" i="21"/>
  <c r="M20" i="21"/>
  <c r="L20" i="21"/>
  <c r="M11" i="21"/>
  <c r="L11" i="21"/>
  <c r="M15" i="21"/>
  <c r="L15" i="21"/>
  <c r="M9" i="21"/>
  <c r="L9" i="21"/>
  <c r="M22" i="21"/>
  <c r="L22" i="21"/>
  <c r="M10" i="21"/>
  <c r="L10" i="21"/>
  <c r="I15" i="18"/>
  <c r="A55" i="29" l="1"/>
  <c r="E54" i="29"/>
  <c r="A41" i="29"/>
  <c r="E40" i="29"/>
  <c r="A27" i="29"/>
  <c r="E26" i="29"/>
  <c r="O15" i="21"/>
  <c r="N15" i="21"/>
  <c r="O21" i="21"/>
  <c r="N21" i="21"/>
  <c r="O19" i="21"/>
  <c r="N19" i="21"/>
  <c r="O28" i="21"/>
  <c r="N28" i="21"/>
  <c r="O17" i="21"/>
  <c r="N17" i="21"/>
  <c r="O10" i="21"/>
  <c r="N10" i="21"/>
  <c r="O11" i="21"/>
  <c r="N11" i="21"/>
  <c r="O13" i="21"/>
  <c r="N13" i="21"/>
  <c r="O26" i="21"/>
  <c r="N26" i="21"/>
  <c r="O29" i="21"/>
  <c r="N29" i="21"/>
  <c r="O23" i="21"/>
  <c r="N23" i="21"/>
  <c r="O22" i="21"/>
  <c r="N22" i="21"/>
  <c r="O20" i="21"/>
  <c r="N20" i="21"/>
  <c r="O27" i="21"/>
  <c r="N27" i="21"/>
  <c r="I6" i="21"/>
  <c r="H6" i="21"/>
  <c r="O12" i="21"/>
  <c r="N12" i="21"/>
  <c r="O25" i="21"/>
  <c r="N25" i="21"/>
  <c r="O14" i="21"/>
  <c r="N14" i="21"/>
  <c r="O9" i="21"/>
  <c r="N9" i="21"/>
  <c r="O24" i="21"/>
  <c r="N24" i="21"/>
  <c r="O16" i="21"/>
  <c r="N16" i="21"/>
  <c r="O7" i="21"/>
  <c r="N7" i="21"/>
  <c r="O8" i="21"/>
  <c r="N8" i="21"/>
  <c r="O18" i="21"/>
  <c r="N18" i="21"/>
  <c r="D4" i="21"/>
  <c r="E4" i="21" s="1"/>
  <c r="D5" i="21"/>
  <c r="E5" i="21" s="1"/>
  <c r="E27" i="29" l="1"/>
  <c r="A28" i="29"/>
  <c r="E41" i="29"/>
  <c r="A42" i="29"/>
  <c r="A56" i="29"/>
  <c r="E55" i="29"/>
  <c r="Q24" i="21"/>
  <c r="P24" i="21"/>
  <c r="Q12" i="21"/>
  <c r="P12" i="21"/>
  <c r="Q22" i="21"/>
  <c r="P22" i="21"/>
  <c r="Q13" i="21"/>
  <c r="P13" i="21"/>
  <c r="Q28" i="21"/>
  <c r="P28" i="21"/>
  <c r="Q18" i="21"/>
  <c r="P18" i="21"/>
  <c r="K6" i="21"/>
  <c r="J6" i="21"/>
  <c r="Q23" i="21"/>
  <c r="P23" i="21"/>
  <c r="Q11" i="21"/>
  <c r="P11" i="21"/>
  <c r="Q19" i="21"/>
  <c r="P19" i="21"/>
  <c r="Q8" i="21"/>
  <c r="P8" i="21"/>
  <c r="Q7" i="21"/>
  <c r="P7" i="21"/>
  <c r="Q14" i="21"/>
  <c r="P14" i="21"/>
  <c r="Q27" i="21"/>
  <c r="P27" i="21"/>
  <c r="Q29" i="21"/>
  <c r="P29" i="21"/>
  <c r="Q10" i="21"/>
  <c r="P10" i="21"/>
  <c r="Q21" i="21"/>
  <c r="P21" i="21"/>
  <c r="Q9" i="21"/>
  <c r="P9" i="21"/>
  <c r="G5" i="21"/>
  <c r="F5" i="21"/>
  <c r="G4" i="21"/>
  <c r="F4" i="21"/>
  <c r="Q16" i="21"/>
  <c r="P16" i="21"/>
  <c r="Q25" i="21"/>
  <c r="P25" i="21"/>
  <c r="Q20" i="21"/>
  <c r="P20" i="21"/>
  <c r="Q26" i="21"/>
  <c r="P26" i="21"/>
  <c r="Q17" i="21"/>
  <c r="P17" i="21"/>
  <c r="Q15" i="21"/>
  <c r="P15" i="21"/>
  <c r="A3" i="22"/>
  <c r="B3" i="22"/>
  <c r="C3" i="22"/>
  <c r="K4" i="19"/>
  <c r="L4" i="19"/>
  <c r="D3" i="22"/>
  <c r="F13" i="24"/>
  <c r="F12" i="24"/>
  <c r="E28" i="29" l="1"/>
  <c r="A29" i="29"/>
  <c r="E29" i="29" s="1"/>
  <c r="A57" i="29"/>
  <c r="E57" i="29" s="1"/>
  <c r="E56" i="29"/>
  <c r="A43" i="29"/>
  <c r="E43" i="29" s="1"/>
  <c r="E42" i="29"/>
  <c r="S17" i="21"/>
  <c r="R17" i="21"/>
  <c r="S21" i="21"/>
  <c r="R21" i="21"/>
  <c r="S28" i="21"/>
  <c r="R28" i="21"/>
  <c r="S16" i="21"/>
  <c r="R16" i="21"/>
  <c r="S14" i="21"/>
  <c r="R14" i="21"/>
  <c r="S11" i="21"/>
  <c r="R11" i="21"/>
  <c r="S24" i="21"/>
  <c r="R24" i="21"/>
  <c r="S26" i="21"/>
  <c r="R26" i="21"/>
  <c r="I4" i="21"/>
  <c r="H4" i="21"/>
  <c r="S10" i="21"/>
  <c r="R10" i="21"/>
  <c r="S7" i="21"/>
  <c r="R7" i="21"/>
  <c r="S23" i="21"/>
  <c r="R23" i="21"/>
  <c r="S13" i="21"/>
  <c r="R13" i="21"/>
  <c r="S20" i="21"/>
  <c r="R20" i="21"/>
  <c r="I5" i="21"/>
  <c r="H5" i="21"/>
  <c r="S29" i="21"/>
  <c r="R29" i="21"/>
  <c r="S8" i="21"/>
  <c r="R8" i="21"/>
  <c r="M6" i="21"/>
  <c r="L6" i="21"/>
  <c r="S22" i="21"/>
  <c r="R22" i="21"/>
  <c r="S15" i="21"/>
  <c r="R15" i="21"/>
  <c r="S25" i="21"/>
  <c r="R25" i="21"/>
  <c r="S9" i="21"/>
  <c r="R9" i="21"/>
  <c r="S27" i="21"/>
  <c r="R27" i="21"/>
  <c r="S19" i="21"/>
  <c r="R19" i="21"/>
  <c r="S18" i="21"/>
  <c r="R18" i="21"/>
  <c r="S12" i="21"/>
  <c r="R12" i="21"/>
  <c r="L5" i="19"/>
  <c r="K5" i="19"/>
  <c r="J5" i="19"/>
  <c r="I5" i="19"/>
  <c r="G5" i="19"/>
  <c r="H5" i="19"/>
  <c r="I4" i="19"/>
  <c r="G4" i="19"/>
  <c r="J4" i="19"/>
  <c r="H4" i="19"/>
  <c r="U29" i="21" l="1"/>
  <c r="W29" i="21" s="1"/>
  <c r="T29" i="21"/>
  <c r="V29" i="21" s="1"/>
  <c r="U16" i="21"/>
  <c r="W16" i="21" s="1"/>
  <c r="T16" i="21"/>
  <c r="V16" i="21" s="1"/>
  <c r="U15" i="21"/>
  <c r="W15" i="21" s="1"/>
  <c r="T15" i="21"/>
  <c r="V15" i="21" s="1"/>
  <c r="U26" i="21"/>
  <c r="W26" i="21" s="1"/>
  <c r="T26" i="21"/>
  <c r="V26" i="21" s="1"/>
  <c r="U19" i="21"/>
  <c r="W19" i="21" s="1"/>
  <c r="T19" i="21"/>
  <c r="V19" i="21" s="1"/>
  <c r="U23" i="21"/>
  <c r="W23" i="21" s="1"/>
  <c r="T23" i="21"/>
  <c r="V23" i="21" s="1"/>
  <c r="U27" i="21"/>
  <c r="W27" i="21" s="1"/>
  <c r="T27" i="21"/>
  <c r="V27" i="21" s="1"/>
  <c r="U22" i="21"/>
  <c r="W22" i="21" s="1"/>
  <c r="T22" i="21"/>
  <c r="V22" i="21" s="1"/>
  <c r="U7" i="21"/>
  <c r="W7" i="21" s="1"/>
  <c r="T7" i="21"/>
  <c r="V7" i="21" s="1"/>
  <c r="U28" i="21"/>
  <c r="W28" i="21" s="1"/>
  <c r="T28" i="21"/>
  <c r="V28" i="21" s="1"/>
  <c r="U9" i="21"/>
  <c r="W9" i="21" s="1"/>
  <c r="T9" i="21"/>
  <c r="V9" i="21" s="1"/>
  <c r="U20" i="21"/>
  <c r="W20" i="21" s="1"/>
  <c r="T20" i="21"/>
  <c r="V20" i="21" s="1"/>
  <c r="U11" i="21"/>
  <c r="W11" i="21" s="1"/>
  <c r="T11" i="21"/>
  <c r="V11" i="21" s="1"/>
  <c r="U21" i="21"/>
  <c r="W21" i="21" s="1"/>
  <c r="T21" i="21"/>
  <c r="V21" i="21" s="1"/>
  <c r="K5" i="21"/>
  <c r="J5" i="21"/>
  <c r="U24" i="21"/>
  <c r="W24" i="21" s="1"/>
  <c r="T24" i="21"/>
  <c r="V24" i="21" s="1"/>
  <c r="U12" i="21"/>
  <c r="W12" i="21" s="1"/>
  <c r="T12" i="21"/>
  <c r="V12" i="21" s="1"/>
  <c r="O6" i="21"/>
  <c r="N6" i="21"/>
  <c r="U10" i="21"/>
  <c r="W10" i="21" s="1"/>
  <c r="T10" i="21"/>
  <c r="V10" i="21" s="1"/>
  <c r="U18" i="21"/>
  <c r="W18" i="21" s="1"/>
  <c r="T18" i="21"/>
  <c r="V18" i="21" s="1"/>
  <c r="U25" i="21"/>
  <c r="W25" i="21" s="1"/>
  <c r="T25" i="21"/>
  <c r="V25" i="21" s="1"/>
  <c r="U8" i="21"/>
  <c r="W8" i="21" s="1"/>
  <c r="T8" i="21"/>
  <c r="V8" i="21" s="1"/>
  <c r="U13" i="21"/>
  <c r="W13" i="21" s="1"/>
  <c r="T13" i="21"/>
  <c r="V13" i="21" s="1"/>
  <c r="K4" i="21"/>
  <c r="J4" i="21"/>
  <c r="U14" i="21"/>
  <c r="W14" i="21" s="1"/>
  <c r="T14" i="21"/>
  <c r="V14" i="21" s="1"/>
  <c r="U17" i="21"/>
  <c r="W17" i="21" s="1"/>
  <c r="T17" i="21"/>
  <c r="V17" i="21" s="1"/>
  <c r="F4" i="19"/>
  <c r="G4" i="18"/>
  <c r="G5" i="18" s="1"/>
  <c r="G6" i="18" s="1"/>
  <c r="G7" i="18" s="1"/>
  <c r="G8" i="18" s="1"/>
  <c r="G9" i="18" s="1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" i="18"/>
  <c r="E3" i="21"/>
  <c r="E2" i="21"/>
  <c r="G3" i="21" l="1"/>
  <c r="F3" i="21"/>
  <c r="G2" i="21"/>
  <c r="F2" i="21"/>
  <c r="M4" i="21"/>
  <c r="L4" i="21"/>
  <c r="M5" i="21"/>
  <c r="L5" i="21"/>
  <c r="Q6" i="21"/>
  <c r="P6" i="21"/>
  <c r="I3" i="19"/>
  <c r="K3" i="19"/>
  <c r="L3" i="19"/>
  <c r="H3" i="19"/>
  <c r="J3" i="19"/>
  <c r="L2" i="19"/>
  <c r="J2" i="19"/>
  <c r="G2" i="19"/>
  <c r="H2" i="19"/>
  <c r="K2" i="19"/>
  <c r="F2" i="19"/>
  <c r="I2" i="21" l="1"/>
  <c r="H2" i="21"/>
  <c r="I3" i="21"/>
  <c r="H3" i="21"/>
  <c r="O4" i="21"/>
  <c r="N4" i="21"/>
  <c r="O5" i="21"/>
  <c r="N5" i="21"/>
  <c r="S6" i="21"/>
  <c r="R6" i="21"/>
  <c r="F5" i="19"/>
  <c r="F3" i="19"/>
  <c r="I14" i="18"/>
  <c r="K3" i="21" l="1"/>
  <c r="J3" i="21"/>
  <c r="K2" i="21"/>
  <c r="J2" i="21"/>
  <c r="Q4" i="21"/>
  <c r="P4" i="21"/>
  <c r="U6" i="21"/>
  <c r="W6" i="21" s="1"/>
  <c r="T6" i="21"/>
  <c r="V6" i="21" s="1"/>
  <c r="Q5" i="21"/>
  <c r="P5" i="21"/>
  <c r="G3" i="19"/>
  <c r="M2" i="21" l="1"/>
  <c r="L2" i="21"/>
  <c r="M3" i="21"/>
  <c r="L3" i="21"/>
  <c r="S5" i="21"/>
  <c r="R5" i="21"/>
  <c r="S4" i="21"/>
  <c r="R4" i="21"/>
  <c r="O3" i="21" l="1"/>
  <c r="N3" i="21"/>
  <c r="O2" i="21"/>
  <c r="N2" i="21"/>
  <c r="U5" i="21"/>
  <c r="W5" i="21" s="1"/>
  <c r="T5" i="21"/>
  <c r="V5" i="21" s="1"/>
  <c r="U4" i="21"/>
  <c r="W4" i="21" s="1"/>
  <c r="T4" i="21"/>
  <c r="V4" i="21" s="1"/>
  <c r="Q2" i="21" l="1"/>
  <c r="P2" i="21"/>
  <c r="Q3" i="21"/>
  <c r="P3" i="21"/>
  <c r="S3" i="21" l="1"/>
  <c r="R3" i="21"/>
  <c r="S2" i="21"/>
  <c r="R2" i="21"/>
  <c r="U2" i="21" l="1"/>
  <c r="W2" i="21" s="1"/>
  <c r="T2" i="21"/>
  <c r="V2" i="21" s="1"/>
  <c r="U3" i="21"/>
  <c r="W3" i="21" s="1"/>
  <c r="T3" i="21"/>
  <c r="V3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tc={8718BFF2-5D26-4A85-B3BC-702D2931D253}</author>
    <author>tc={5579E82A-5AB2-4FD5-964D-905D952F835B}</author>
    <author>tc={7D307892-A309-470A-BA4F-9314D14472AB}</author>
    <author>tc={518A0915-09E1-47A3-9CD1-787E202A08D9}</author>
    <author>tc={4921C739-21CC-4ED1-AC8A-5924B20C3706}</author>
    <author>tc={F8280148-BAE3-4759-9016-A789E3EFD0BD}</author>
    <author>tc={093D51DA-DA63-4B63-A6A6-96702CF42652}</author>
    <author>tc={71ADB41E-7535-494C-8664-5F8397CD950E}</author>
    <author>tc={D54C9511-571E-4B4E-8C7A-BB66409D6F58}</author>
    <author>tc={8FE18ADA-40F0-45ED-9322-633221706353}</author>
    <author>tc={1A02F3D4-5F9F-413E-9ADD-3D8AFB6B51E8}</author>
    <author>tc={98F5D544-7031-4A19-BF29-0703A14ED872}</author>
    <author>tc={A491F601-0A78-4D5C-B3D9-0476E301B686}</author>
    <author>tc={BBAB6D6E-44A2-4BF2-9E29-0E74906CD331}</author>
    <author>tc={9AF8BA0D-9D8B-40F1-8144-A1E3DF668978}</author>
    <author>tc={ADE66E77-856A-490A-AF7C-953A374E2A97}</author>
    <author>tc={FCBCEF13-B511-4D3C-94D8-00383251D993}</author>
    <author>tc={4B613EE1-A27C-4481-B377-178C6EF988FE}</author>
    <author>tc={14D9A34F-BABB-40D5-8C41-CFE494EFAA6F}</author>
    <author>tc={BDE67035-3E28-427C-A967-731EB7602A85}</author>
    <author>tc={FB2018C9-7C87-4A93-BFA0-D97431E264BE}</author>
    <author>tc={CA437B32-3D9F-492C-BBD9-D4A00F576C0E}</author>
  </authors>
  <commentList>
    <comment ref="H2" authorId="0" shapeId="0" xr:uid="{8718BFF2-5D26-4A85-B3BC-702D2931D253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  <comment ref="E3" authorId="1" shapeId="0" xr:uid="{5579E82A-5AB2-4FD5-964D-905D952F835B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hard_coal</t>
      </text>
    </comment>
    <comment ref="H3" authorId="2" shapeId="0" xr:uid="{7D307892-A309-470A-BA4F-9314D14472AB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  <comment ref="H4" authorId="3" shapeId="0" xr:uid="{518A0915-09E1-47A3-9CD1-787E202A08D9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  <comment ref="H5" authorId="4" shapeId="0" xr:uid="{4921C739-21CC-4ED1-AC8A-5924B20C3706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  <comment ref="E7" authorId="5" shapeId="0" xr:uid="{F8280148-BAE3-4759-9016-A789E3EFD0BD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this exist?</t>
      </text>
    </comment>
    <comment ref="H7" authorId="6" shapeId="0" xr:uid="{093D51DA-DA63-4B63-A6A6-96702CF42652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unit okay?</t>
      </text>
    </comment>
    <comment ref="H8" authorId="7" shapeId="0" xr:uid="{71ADB41E-7535-494C-8664-5F8397CD950E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  <comment ref="H9" authorId="8" shapeId="0" xr:uid="{D54C9511-571E-4B4E-8C7A-BB66409D6F58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  <comment ref="F10" authorId="9" shapeId="0" xr:uid="{8FE18ADA-40F0-45ED-9322-633221706353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this</t>
      </text>
    </comment>
    <comment ref="H10" authorId="10" shapeId="0" xr:uid="{1A02F3D4-5F9F-413E-9ADD-3D8AFB6B5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  <comment ref="F11" authorId="11" shapeId="0" xr:uid="{98F5D544-7031-4A19-BF29-0703A14ED872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this.</t>
      </text>
    </comment>
    <comment ref="H11" authorId="12" shapeId="0" xr:uid="{A491F601-0A78-4D5C-B3D9-0476E301B686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  <comment ref="H17" authorId="13" shapeId="0" xr:uid="{BBAB6D6E-44A2-4BF2-9E29-0E74906CD331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  <comment ref="H18" authorId="14" shapeId="0" xr:uid="{9AF8BA0D-9D8B-40F1-8144-A1E3DF668978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  <comment ref="H19" authorId="15" shapeId="0" xr:uid="{ADE66E77-856A-490A-AF7C-953A374E2A97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  <comment ref="E22" authorId="16" shapeId="0" xr:uid="{FCBCEF13-B511-4D3C-94D8-00383251D99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furnace</t>
      </text>
    </comment>
    <comment ref="H24" authorId="17" shapeId="0" xr:uid="{4B613EE1-A27C-4481-B377-178C6EF988FE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  <comment ref="H25" authorId="18" shapeId="0" xr:uid="{14D9A34F-BABB-40D5-8C41-CFE494EFAA6F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  <comment ref="H26" authorId="19" shapeId="0" xr:uid="{BDE67035-3E28-427C-A967-731EB7602A85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  <comment ref="H27" authorId="20" shapeId="0" xr:uid="{FB2018C9-7C87-4A93-BFA0-D97431E264BE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  <comment ref="H28" authorId="21" shapeId="0" xr:uid="{CA437B32-3D9F-492C-BBD9-D4A00F576C0E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tc={95716A64-DDF9-4F9D-A95D-73D0266E165B}</author>
    <author>tc={3D945B99-DFB6-4ECF-8D0E-59BD2323FBFA}</author>
  </authors>
  <commentList>
    <comment ref="F3" authorId="0" shapeId="0" xr:uid="{95716A64-DDF9-4F9D-A95D-73D0266E16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 extracted from USGS, then multiplied by numbers in graphite_format
</t>
      </text>
    </comment>
    <comment ref="F11" authorId="1" shapeId="0" xr:uid="{3D945B99-DFB6-4ECF-8D0E-59BD2323FBF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 extracted from USGS, then multiplied by numbers in graphite_format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tc={F9CD0EBD-A8C9-42B2-80AA-76E2E0AC4A90}</author>
    <author>tc={FE0DC2C9-6A9B-465B-90A2-41ACA1A87AEC}</author>
    <author>tc={ECFE27D5-5603-464E-AD87-695D9B3EB7F5}</author>
    <author>tc={ACD28102-8C19-49D2-8EE1-F8AFAA67C400}</author>
    <author>tc={9B7A17A3-9CEF-4A1C-92A1-A90D38B00557}</author>
    <author>tc={A076A122-3536-4A92-8839-0AF11C43F7ED}</author>
    <author>tc={5AC6E182-0CBB-4E9A-A6F6-717C413009AE}</author>
    <author>tc={392468C8-193E-4C32-A747-31027F37E837}</author>
    <author>tc={530FEFD6-1C26-4A26-80E4-011C3679347A}</author>
    <author>tc={5443EF48-8191-4F69-AC4D-77BB86F8A95F}</author>
    <author>tc={5D55236E-1CF3-45E6-82BF-30498F05A202}</author>
    <author>tc={79F47ADB-18FA-42C3-94BB-6CADB327478C}</author>
    <author>tc={2782769C-964A-481E-A365-560CD4EAEC79}</author>
    <author>tc={61EB22B1-76DC-4AF9-94C1-BB0F02AF0B1D}</author>
    <author>tc={977B0AF7-0F02-47E3-A852-B89B26133402}</author>
    <author>tc={15853B3D-AF59-4915-9FA3-5717944D1D0A}</author>
    <author>tc={828D1BA7-C2C1-419D-BA2E-C4E2972DF677}</author>
    <author>tc={8BC84F89-46AC-45CA-A6C8-C2ABE794E113}</author>
    <author>tc={EA5E3D74-8307-4F13-96E0-3E09B8AE3E21}</author>
    <author>tc={A492A58C-E972-47C6-BF90-078D724AF112}</author>
    <author>tc={545656D4-BCA6-4557-8B33-94C5D66342B6}</author>
    <author>tc={8BF24E1A-0C3D-4D08-9DF2-90ED045E1F9E}</author>
    <author>tc={9E3AF914-1940-400E-BA1B-717A89E66997}</author>
    <author>tc={A0919A53-0BD6-4CEF-B381-6EECB5C343E0}</author>
    <author>tc={AD918E0B-E092-48D8-BEBE-EA90E6D1B6D1}</author>
    <author>tc={FA675C3C-E131-4F33-82D6-CF5113F8CF01}</author>
    <author>tc={BA06BE66-FD10-4E4C-8477-64E04DBE2FF5}</author>
    <author>tc={FC88E2F8-7D9A-4E2B-9EC0-FE6F87A144B9}</author>
    <author>tc={B67ED073-0BA6-42E2-89EA-F97F53D28E85}</author>
    <author>tc={84610D87-1EC8-487A-B536-9BA2D98A4BD2}</author>
  </authors>
  <commentList>
    <comment ref="A6" authorId="0" shapeId="0" xr:uid="{F9CD0EBD-A8C9-42B2-80AA-76E2E0AC4A90}">
      <text>
        <t>[Threaded comment]
Your version of Excel allows you to read this threaded comment; however, any edits to it will get removed if the file is opened in a newer version of Excel. Learn more: https://go.microsoft.com/fwlink/?linkid=870924
Comment:
    Coal tar pitch price (700 MUSD/Mt)
Reply:
    Source: Sustainable coal tar pitch carbon fiber manufacturing</t>
      </text>
    </comment>
    <comment ref="A8" authorId="1" shapeId="0" xr:uid="{FE0DC2C9-6A9B-465B-90A2-41ACA1A87AE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http://www.researchinchina.com/UpLoads/ArticleFreePartPath/20180330183236.pdf</t>
      </text>
    </comment>
    <comment ref="A9" authorId="2" shapeId="0" xr:uid="{ECFE27D5-5603-464E-AD87-695D9B3EB7F5}">
      <text>
        <t>[Threaded comment]
Your version of Excel allows you to read this threaded comment; however, any edits to it will get removed if the file is opened in a newer version of Excel. Learn more: https://go.microsoft.com/fwlink/?linkid=870924
Comment:
    Coal tar pitch price (700 MUSD/Mt)
Reply:
    Source: Sustainable coal tar pitch carbon fiber manufacturing</t>
      </text>
    </comment>
    <comment ref="A11" authorId="3" shapeId="0" xr:uid="{ACD28102-8C19-49D2-8EE1-F8AFAA67C40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http://www.researchinchina.com/UpLoads/ArticleFreePartPath/20180330183236.pdf</t>
      </text>
    </comment>
    <comment ref="B52" authorId="4" shapeId="0" xr:uid="{9B7A17A3-9CEF-4A1C-92A1-A90D38B0055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mainly relevant for Li and Co, according to source:
Reply:
    https://iea.blob.core.windows.net/assets/ffd2a83b-8c30-4e9d-980a-52b6d9a86fdc/TheRoleofCriticalMineralsinCleanEnergyTransitions.pdf</t>
      </text>
    </comment>
    <comment ref="A56" authorId="5" shapeId="0" xr:uid="{A076A122-3536-4A92-8839-0AF11C43F7ED}">
      <text>
        <t>[Threaded comment]
Your version of Excel allows you to read this threaded comment; however, any edits to it will get removed if the file is opened in a newer version of Excel. Learn more: https://go.microsoft.com/fwlink/?linkid=870924
Comment:
    Coal tar pitch price (700 MUSD/Mt)
Reply:
    Source: Sustainable coal tar pitch carbon fiber manufacturing</t>
      </text>
    </comment>
    <comment ref="A58" authorId="6" shapeId="0" xr:uid="{5AC6E182-0CBB-4E9A-A6F6-717C413009A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http://www.researchinchina.com/UpLoads/ArticleFreePartPath/20180330183236.pdf</t>
      </text>
    </comment>
    <comment ref="A59" authorId="7" shapeId="0" xr:uid="{392468C8-193E-4C32-A747-31027F37E837}">
      <text>
        <t>[Threaded comment]
Your version of Excel allows you to read this threaded comment; however, any edits to it will get removed if the file is opened in a newer version of Excel. Learn more: https://go.microsoft.com/fwlink/?linkid=870924
Comment:
    Coal tar pitch price (700 MUSD/Mt)
Reply:
    Source: Sustainable coal tar pitch carbon fiber manufacturing</t>
      </text>
    </comment>
    <comment ref="A61" authorId="8" shapeId="0" xr:uid="{530FEFD6-1C26-4A26-80E4-011C3679347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http://www.researchinchina.com/UpLoads/ArticleFreePartPath/20180330183236.pdf</t>
      </text>
    </comment>
    <comment ref="B102" authorId="9" shapeId="0" xr:uid="{5443EF48-8191-4F69-AC4D-77BB86F8A95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relevant for Cobalt and graphite
</t>
      </text>
    </comment>
    <comment ref="A106" authorId="10" shapeId="0" xr:uid="{5D55236E-1CF3-45E6-82BF-30498F05A2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Coal tar pitch price (700 MUSD/Mt)
Reply:
    Source: Sustainable coal tar pitch carbon fiber manufacturing</t>
      </text>
    </comment>
    <comment ref="A108" authorId="11" shapeId="0" xr:uid="{79F47ADB-18FA-42C3-94BB-6CADB327478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http://www.researchinchina.com/UpLoads/ArticleFreePartPath/20180330183236.pdf</t>
      </text>
    </comment>
    <comment ref="A109" authorId="12" shapeId="0" xr:uid="{2782769C-964A-481E-A365-560CD4EAEC79}">
      <text>
        <t>[Threaded comment]
Your version of Excel allows you to read this threaded comment; however, any edits to it will get removed if the file is opened in a newer version of Excel. Learn more: https://go.microsoft.com/fwlink/?linkid=870924
Comment:
    Coal tar pitch price (700 MUSD/Mt)
Reply:
    Source: Sustainable coal tar pitch carbon fiber manufacturing</t>
      </text>
    </comment>
    <comment ref="A111" authorId="13" shapeId="0" xr:uid="{61EB22B1-76DC-4AF9-94C1-BB0F02AF0B1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http://www.researchinchina.com/UpLoads/ArticleFreePartPath/20180330183236.pdf</t>
      </text>
    </comment>
    <comment ref="A156" authorId="14" shapeId="0" xr:uid="{977B0AF7-0F02-47E3-A852-B89B261334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Coal tar pitch price (700 MUSD/Mt)
Reply:
    Source: Sustainable coal tar pitch carbon fiber manufacturing</t>
      </text>
    </comment>
    <comment ref="A158" authorId="15" shapeId="0" xr:uid="{15853B3D-AF59-4915-9FA3-5717944D1D0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http://www.researchinchina.com/UpLoads/ArticleFreePartPath/20180330183236.pdf</t>
      </text>
    </comment>
    <comment ref="A159" authorId="16" shapeId="0" xr:uid="{828D1BA7-C2C1-419D-BA2E-C4E2972DF677}">
      <text>
        <t>[Threaded comment]
Your version of Excel allows you to read this threaded comment; however, any edits to it will get removed if the file is opened in a newer version of Excel. Learn more: https://go.microsoft.com/fwlink/?linkid=870924
Comment:
    Coal tar pitch price (700 MUSD/Mt)
Reply:
    Source: Sustainable coal tar pitch carbon fiber manufacturing</t>
      </text>
    </comment>
    <comment ref="A161" authorId="17" shapeId="0" xr:uid="{8BC84F89-46AC-45CA-A6C8-C2ABE794E11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http://www.researchinchina.com/UpLoads/ArticleFreePartPath/20180330183236.pdf</t>
      </text>
    </comment>
    <comment ref="A206" authorId="18" shapeId="0" xr:uid="{EA5E3D74-8307-4F13-96E0-3E09B8AE3E21}">
      <text>
        <t>[Threaded comment]
Your version of Excel allows you to read this threaded comment; however, any edits to it will get removed if the file is opened in a newer version of Excel. Learn more: https://go.microsoft.com/fwlink/?linkid=870924
Comment:
    Coal tar pitch price (700 MUSD/Mt)
Reply:
    Source: Sustainable coal tar pitch carbon fiber manufacturing</t>
      </text>
    </comment>
    <comment ref="A208" authorId="19" shapeId="0" xr:uid="{A492A58C-E972-47C6-BF90-078D724AF11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http://www.researchinchina.com/UpLoads/ArticleFreePartPath/20180330183236.pdf</t>
      </text>
    </comment>
    <comment ref="A209" authorId="20" shapeId="0" xr:uid="{545656D4-BCA6-4557-8B33-94C5D66342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Coal tar pitch price (700 MUSD/Mt)
Reply:
    Source: Sustainable coal tar pitch carbon fiber manufacturing</t>
      </text>
    </comment>
    <comment ref="A211" authorId="21" shapeId="0" xr:uid="{8BF24E1A-0C3D-4D08-9DF2-90ED045E1F9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http://www.researchinchina.com/UpLoads/ArticleFreePartPath/20180330183236.pdf</t>
      </text>
    </comment>
    <comment ref="A256" authorId="22" shapeId="0" xr:uid="{9E3AF914-1940-400E-BA1B-717A89E66997}">
      <text>
        <t>[Threaded comment]
Your version of Excel allows you to read this threaded comment; however, any edits to it will get removed if the file is opened in a newer version of Excel. Learn more: https://go.microsoft.com/fwlink/?linkid=870924
Comment:
    Coal tar pitch price (700 MUSD/Mt)
Reply:
    Source: Sustainable coal tar pitch carbon fiber manufacturing</t>
      </text>
    </comment>
    <comment ref="A258" authorId="23" shapeId="0" xr:uid="{A0919A53-0BD6-4CEF-B381-6EECB5C343E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http://www.researchinchina.com/UpLoads/ArticleFreePartPath/20180330183236.pdf</t>
      </text>
    </comment>
    <comment ref="A259" authorId="24" shapeId="0" xr:uid="{AD918E0B-E092-48D8-BEBE-EA90E6D1B6D1}">
      <text>
        <t>[Threaded comment]
Your version of Excel allows you to read this threaded comment; however, any edits to it will get removed if the file is opened in a newer version of Excel. Learn more: https://go.microsoft.com/fwlink/?linkid=870924
Comment:
    Coal tar pitch price (700 MUSD/Mt)
Reply:
    Source: Sustainable coal tar pitch carbon fiber manufacturing</t>
      </text>
    </comment>
    <comment ref="A261" authorId="25" shapeId="0" xr:uid="{FA675C3C-E131-4F33-82D6-CF5113F8CF0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http://www.researchinchina.com/UpLoads/ArticleFreePartPath/20180330183236.pdf</t>
      </text>
    </comment>
    <comment ref="A330" authorId="26" shapeId="0" xr:uid="{BA06BE66-FD10-4E4C-8477-64E04DBE2FF5}">
      <text>
        <t>[Threaded comment]
Your version of Excel allows you to read this threaded comment; however, any edits to it will get removed if the file is opened in a newer version of Excel. Learn more: https://go.microsoft.com/fwlink/?linkid=870924
Comment:
    Coal tar pitch price (700 MUSD/Mt)
Reply:
    Source: Sustainable coal tar pitch carbon fiber manufacturing</t>
      </text>
    </comment>
    <comment ref="A332" authorId="27" shapeId="0" xr:uid="{FC88E2F8-7D9A-4E2B-9EC0-FE6F87A144B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http://www.researchinchina.com/UpLoads/ArticleFreePartPath/20180330183236.pdf</t>
      </text>
    </comment>
    <comment ref="A333" authorId="28" shapeId="0" xr:uid="{B67ED073-0BA6-42E2-89EA-F97F53D28E85}">
      <text>
        <t>[Threaded comment]
Your version of Excel allows you to read this threaded comment; however, any edits to it will get removed if the file is opened in a newer version of Excel. Learn more: https://go.microsoft.com/fwlink/?linkid=870924
Comment:
    Coal tar pitch price (700 MUSD/Mt)
Reply:
    Source: Sustainable coal tar pitch carbon fiber manufacturing</t>
      </text>
    </comment>
    <comment ref="A335" authorId="29" shapeId="0" xr:uid="{84610D87-1EC8-487A-B536-9BA2D98A4BD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http://www.researchinchina.com/UpLoads/ArticleFreePartPath/20180330183236.pdf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tc={4F80D0E6-6EF9-4D4A-9F48-9F4EC5A75860}</author>
    <author>tc={D5554553-B415-4E2A-BC29-20A3B0AC52AD}</author>
    <author>tc={2D69A4B8-44E8-41C5-8B98-EFC4C9575768}</author>
    <author>tc={7F488F80-9DE5-4917-B166-B9B89A7A7033}</author>
  </authors>
  <commentList>
    <comment ref="A6" authorId="0" shapeId="0" xr:uid="{4F80D0E6-6EF9-4D4A-9F48-9F4EC5A75860}">
      <text>
        <t>[Threaded comment]
Your version of Excel allows you to read this threaded comment; however, any edits to it will get removed if the file is opened in a newer version of Excel. Learn more: https://go.microsoft.com/fwlink/?linkid=870924
Comment:
    Coal tar pitch price (700 MUSD/Mt)
Reply:
    Source: Sustainable coal tar pitch carbon fiber manufacturing</t>
      </text>
    </comment>
    <comment ref="A8" authorId="1" shapeId="0" xr:uid="{D5554553-B415-4E2A-BC29-20A3B0AC52A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http://www.researchinchina.com/UpLoads/ArticleFreePartPath/20180330183236.pdf</t>
      </text>
    </comment>
    <comment ref="A9" authorId="2" shapeId="0" xr:uid="{2D69A4B8-44E8-41C5-8B98-EFC4C9575768}">
      <text>
        <t>[Threaded comment]
Your version of Excel allows you to read this threaded comment; however, any edits to it will get removed if the file is opened in a newer version of Excel. Learn more: https://go.microsoft.com/fwlink/?linkid=870924
Comment:
    Coal tar pitch price (700 MUSD/Mt)
Reply:
    Source: Sustainable coal tar pitch carbon fiber manufacturing</t>
      </text>
    </comment>
    <comment ref="A11" authorId="3" shapeId="0" xr:uid="{7F488F80-9DE5-4917-B166-B9B89A7A703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http://www.researchinchina.com/UpLoads/ArticleFreePartPath/20180330183236.pdf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tc={8159A5F6-4CB5-4835-8434-2F49FF7C96F3}</author>
    <author>tc={A6A7D84F-762A-45C9-8805-E85B85500ACA}</author>
    <author>tc={B95E72D0-BA7C-4BD8-9965-4A2CA67133A1}</author>
  </authors>
  <commentList>
    <comment ref="A2" authorId="0" shapeId="0" xr:uid="{8159A5F6-4CB5-4835-8434-2F49FF7C96F3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this be historical activity only for Li-ion batteries?</t>
      </text>
    </comment>
    <comment ref="L2" authorId="1" shapeId="0" xr:uid="{A6A7D84F-762A-45C9-8805-E85B85500AC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critical to include historical activity earlier than 2015. 
Historical_new_cap is more important, you should build this from 1990, ideally.</t>
      </text>
    </comment>
    <comment ref="A4" authorId="2" shapeId="0" xr:uid="{B95E72D0-BA7C-4BD8-9965-4A2CA67133A1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for batteries demand, I suppose?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tc={DB14F7F5-0AF3-41E0-ADE2-2BD2B4BB65C3}</author>
    <author>tc={4433BAD2-076F-44B6-B175-7284035A5032}</author>
    <author>tc={9BF1C8F3-FAB8-4530-9767-ADE0A7CC13CF}</author>
    <author>tc={A9718443-8A1C-4B9C-A996-33F38F26FA43}</author>
    <author>tc={4E32086C-75BD-45AE-99D8-E4AF82E29CAC}</author>
    <author>tc={FDE9CCB3-C66B-4F24-B24F-CF925704C203}</author>
    <author>tc={353BF8C6-593A-4DFC-8382-AFBC46891591}</author>
    <author>tc={C96F4831-B318-44D1-AA15-1E157FD21AC2}</author>
  </authors>
  <commentList>
    <comment ref="A6" authorId="0" shapeId="0" xr:uid="{DB14F7F5-0AF3-41E0-ADE2-2BD2B4BB65C3}">
      <text>
        <t>[Threaded comment]
Your version of Excel allows you to read this threaded comment; however, any edits to it will get removed if the file is opened in a newer version of Excel. Learn more: https://go.microsoft.com/fwlink/?linkid=870924
Comment:
    Coal tar pitch price (700 MUSD/Mt)
Reply:
    Source: Sustainable coal tar pitch carbon fiber manufacturing</t>
      </text>
    </comment>
    <comment ref="A8" authorId="1" shapeId="0" xr:uid="{4433BAD2-076F-44B6-B175-7284035A503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http://www.researchinchina.com/UpLoads/ArticleFreePartPath/20180330183236.pdf</t>
      </text>
    </comment>
    <comment ref="A9" authorId="2" shapeId="0" xr:uid="{9BF1C8F3-FAB8-4530-9767-ADE0A7CC13CF}">
      <text>
        <t>[Threaded comment]
Your version of Excel allows you to read this threaded comment; however, any edits to it will get removed if the file is opened in a newer version of Excel. Learn more: https://go.microsoft.com/fwlink/?linkid=870924
Comment:
    Coal tar pitch price (700 MUSD/Mt)
Reply:
    Source: Sustainable coal tar pitch carbon fiber manufacturing</t>
      </text>
    </comment>
    <comment ref="A11" authorId="3" shapeId="0" xr:uid="{A9718443-8A1C-4B9C-A996-33F38F26FA4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http://www.researchinchina.com/UpLoads/ArticleFreePartPath/20180330183236.pdf</t>
      </text>
    </comment>
    <comment ref="A56" authorId="4" shapeId="0" xr:uid="{4E32086C-75BD-45AE-99D8-E4AF82E29CAC}">
      <text>
        <t>[Threaded comment]
Your version of Excel allows you to read this threaded comment; however, any edits to it will get removed if the file is opened in a newer version of Excel. Learn more: https://go.microsoft.com/fwlink/?linkid=870924
Comment:
    Coal tar pitch price (700 MUSD/Mt)
Reply:
    Source: Sustainable coal tar pitch carbon fiber manufacturing</t>
      </text>
    </comment>
    <comment ref="A58" authorId="5" shapeId="0" xr:uid="{FDE9CCB3-C66B-4F24-B24F-CF925704C20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http://www.researchinchina.com/UpLoads/ArticleFreePartPath/20180330183236.pdf</t>
      </text>
    </comment>
    <comment ref="A59" authorId="6" shapeId="0" xr:uid="{353BF8C6-593A-4DFC-8382-AFBC46891591}">
      <text>
        <t>[Threaded comment]
Your version of Excel allows you to read this threaded comment; however, any edits to it will get removed if the file is opened in a newer version of Excel. Learn more: https://go.microsoft.com/fwlink/?linkid=870924
Comment:
    Coal tar pitch price (700 MUSD/Mt)
Reply:
    Source: Sustainable coal tar pitch carbon fiber manufacturing</t>
      </text>
    </comment>
    <comment ref="A61" authorId="7" shapeId="0" xr:uid="{C96F4831-B318-44D1-AA15-1E157FD21AC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http://www.researchinchina.com/UpLoads/ArticleFreePartPath/20180330183236.pdf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tc={824A2D2A-C386-4634-B3AC-EBF2EA726955}</author>
    <author>tc={908B5A0C-FCAD-49A5-B289-C4743454D913}</author>
    <author>tc={E9A82345-4908-4E88-94D4-C950919074E4}</author>
    <author>tc={F376B4DF-41CA-41D5-9EE0-2151EA5AE6AD}</author>
    <author>tc={3C7F1ED6-2C41-4C47-91EF-E3F99E4381E8}</author>
    <author>tc={CB398762-7820-43EC-9A2B-0F9EA373C126}</author>
    <author>tc={75FD9511-09EA-4273-909E-6C409F20B801}</author>
    <author>tc={071FFE05-1BDE-4636-9D40-310F0BF003A1}</author>
    <author>tc={C2588B9F-BFC3-4CED-8A00-920EB69A281E}</author>
    <author>tc={849D376C-8C48-494B-B74D-A54514E7D9CB}</author>
    <author>tc={33DC2D93-DD97-4371-B910-9EFC4EB115C5}</author>
    <author>tc={CD56E2EB-5E5B-40D9-8EFE-0543983801BD}</author>
    <author>tc={3334AEB7-6F73-4708-8924-CFFFA8BD9813}</author>
    <author>tc={563589BB-D893-48CE-8A12-95B5467B0601}</author>
    <author>tc={DE175545-7223-4146-9B65-DDF63ADD92F9}</author>
    <author>tc={FA3A5B18-E18A-4635-B5B2-B4F6885608FB}</author>
    <author>tc={699F33B2-CEBC-474E-B179-5216B69263F3}</author>
    <author>tc={4D6ECB86-B3C4-4589-B2E3-20C07D64D3D6}</author>
    <author>tc={DC02314F-C234-4E0C-AFAC-914157FAD837}</author>
    <author>tc={656EE592-FC14-4F0B-8C81-F2095B84DD90}</author>
  </authors>
  <commentList>
    <comment ref="E2" authorId="0" shapeId="0" xr:uid="{824A2D2A-C386-4634-B3AC-EBF2EA726955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  <comment ref="E3" authorId="1" shapeId="0" xr:uid="{908B5A0C-FCAD-49A5-B289-C4743454D913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  <comment ref="F3" authorId="2" shapeId="0" xr:uid="{E9A82345-4908-4E88-94D4-C950919074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Converting from Mt of coal to GWa. 
Start by converting Mt of coal to MJ (through ton of coal equivalents).
</t>
      </text>
    </comment>
    <comment ref="E4" authorId="3" shapeId="0" xr:uid="{F376B4DF-41CA-41D5-9EE0-2151EA5AE6AD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  <comment ref="E5" authorId="4" shapeId="0" xr:uid="{3C7F1ED6-2C41-4C47-91EF-E3F99E438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  <comment ref="E8" authorId="5" shapeId="0" xr:uid="{CB398762-7820-43EC-9A2B-0F9EA373C126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  <comment ref="E9" authorId="6" shapeId="0" xr:uid="{75FD9511-09EA-4273-909E-6C409F20B801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  <comment ref="E15" authorId="7" shapeId="0" xr:uid="{071FFE05-1BDE-4636-9D40-310F0BF003A1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  <comment ref="E16" authorId="8" shapeId="0" xr:uid="{C2588B9F-BFC3-4CED-8A00-920EB69A281E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  <comment ref="E17" authorId="9" shapeId="0" xr:uid="{849D376C-8C48-494B-B74D-A54514E7D9CB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  <comment ref="E22" authorId="10" shapeId="0" xr:uid="{33DC2D93-DD97-4371-B910-9EFC4EB115C5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  <comment ref="E23" authorId="11" shapeId="0" xr:uid="{CD56E2EB-5E5B-40D9-8EFE-0543983801BD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  <comment ref="E24" authorId="12" shapeId="0" xr:uid="{3334AEB7-6F73-4708-8924-CFFFA8BD9813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 thing?</t>
      </text>
    </comment>
    <comment ref="F32" authorId="13" shapeId="0" xr:uid="{563589BB-D893-48CE-8A12-95B5467B0601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Converting from Mt of coal to GWa. 
Start by converting Mt of coal to MJ (through ton of coal equivalents).</t>
      </text>
    </comment>
    <comment ref="H32" authorId="14" shapeId="0" xr:uid="{DE175545-7223-4146-9B65-DDF63ADD92F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Converting from Mt of coal to GWa. 
Start by converting Mt of coal to MJ (through ton of coal equivalents).</t>
      </text>
    </comment>
    <comment ref="B49" authorId="15" shapeId="0" xr:uid="{FA3A5B18-E18A-4635-B5B2-B4F6885608FB}">
      <text>
        <t>[Threaded comment]
Your version of Excel allows you to read this threaded comment; however, any edits to it will get removed if the file is opened in a newer version of Excel. Learn more: https://go.microsoft.com/fwlink/?linkid=870924
Comment:
    Coal tar pitch price (700 MUSD/Mt)
Reply:
    Source: Sustainable coal tar pitch carbon fiber manufacturing</t>
      </text>
    </comment>
    <comment ref="B50" authorId="16" shapeId="0" xr:uid="{699F33B2-CEBC-474E-B179-5216B69263F3}">
      <text>
        <t>[Threaded comment]
Your version of Excel allows you to read this threaded comment; however, any edits to it will get removed if the file is opened in a newer version of Excel. Learn more: https://go.microsoft.com/fwlink/?linkid=870924
Comment:
    Coal tar pitch price (700 MUSD/Mt)
Reply:
    Source: Sustainable coal tar pitch carbon fiber manufacturing</t>
      </text>
    </comment>
    <comment ref="B51" authorId="17" shapeId="0" xr:uid="{4D6ECB86-B3C4-4589-B2E3-20C07D64D3D6}">
      <text>
        <t>[Threaded comment]
Your version of Excel allows you to read this threaded comment; however, any edits to it will get removed if the file is opened in a newer version of Excel. Learn more: https://go.microsoft.com/fwlink/?linkid=870924
Comment:
    Coal tar pitch price (700 MUSD/Mt)
Reply:
    Source: Sustainable coal tar pitch carbon fiber manufacturing</t>
      </text>
    </comment>
    <comment ref="F138" authorId="18" shapeId="0" xr:uid="{DC02314F-C234-4E0C-AFAC-914157FAD837}">
      <text>
        <t>[Threaded comment]
Your version of Excel allows you to read this threaded comment; however, any edits to it will get removed if the file is opened in a newer version of Excel. Learn more: https://go.microsoft.com/fwlink/?linkid=870924
Comment:
    Old value, but with this price commodity around 200k</t>
      </text>
    </comment>
    <comment ref="H142" authorId="19" shapeId="0" xr:uid="{656EE592-FC14-4F0B-8C81-F2095B84DD9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values, they have been used to normalize per Mton of CoOH
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tc={96CC4A79-7F98-4A5A-AA29-6CE3758A06AC}</author>
    <author>tc={4FB41136-3CDB-4402-AC92-A4F92B4640E9}</author>
    <author>tc={885736A6-0FBF-4C5C-9BC4-55E70CB2E417}</author>
  </authors>
  <commentList>
    <comment ref="A4" authorId="0" shapeId="0" xr:uid="{96CC4A79-7F98-4A5A-AA29-6CE3758A06AC}">
      <text>
        <t>[Threaded comment]
Your version of Excel allows you to read this threaded comment; however, any edits to it will get removed if the file is opened in a newer version of Excel. Learn more: https://go.microsoft.com/fwlink/?linkid=870924
Comment:
    Coal tar pitch price (700 MUSD/Mt)
Reply:
    Source: Sustainable coal tar pitch carbon fiber manufacturing</t>
      </text>
    </comment>
    <comment ref="A5" authorId="1" shapeId="0" xr:uid="{4FB41136-3CDB-4402-AC92-A4F92B4640E9}">
      <text>
        <t>[Threaded comment]
Your version of Excel allows you to read this threaded comment; however, any edits to it will get removed if the file is opened in a newer version of Excel. Learn more: https://go.microsoft.com/fwlink/?linkid=870924
Comment:
    Coal tar pitch price (700 MUSD/Mt)
Reply:
    Source: Sustainable coal tar pitch carbon fiber manufacturing</t>
      </text>
    </comment>
    <comment ref="A6" authorId="2" shapeId="0" xr:uid="{885736A6-0FBF-4C5C-9BC4-55E70CB2E417}">
      <text>
        <t>[Threaded comment]
Your version of Excel allows you to read this threaded comment; however, any edits to it will get removed if the file is opened in a newer version of Excel. Learn more: https://go.microsoft.com/fwlink/?linkid=870924
Comment:
    Coal tar pitch price (700 MUSD/Mt)
Reply:
    Source: Sustainable coal tar pitch carbon fiber manufacturing</t>
      </text>
    </comment>
  </commentList>
</comments>
</file>

<file path=xl/sharedStrings.xml><?xml version="1.0" encoding="utf-8"?>
<sst xmlns="http://schemas.openxmlformats.org/spreadsheetml/2006/main" count="6627" uniqueCount="551">
  <si>
    <t>Technology</t>
  </si>
  <si>
    <t>Parameter</t>
  </si>
  <si>
    <t>Region</t>
  </si>
  <si>
    <t>Level</t>
  </si>
  <si>
    <t>Commodity</t>
  </si>
  <si>
    <t>Species</t>
  </si>
  <si>
    <t>Mode</t>
  </si>
  <si>
    <t>Units</t>
  </si>
  <si>
    <t>Value</t>
  </si>
  <si>
    <t>Comment</t>
  </si>
  <si>
    <t>mining_flotation_graphite</t>
  </si>
  <si>
    <t>input</t>
  </si>
  <si>
    <t>R11_CPA</t>
  </si>
  <si>
    <t>primary_material</t>
  </si>
  <si>
    <t>graphite_ore</t>
  </si>
  <si>
    <t>M1</t>
  </si>
  <si>
    <t>Mt/Mt</t>
  </si>
  <si>
    <t>final</t>
  </si>
  <si>
    <t>coal</t>
  </si>
  <si>
    <t>other_chemicals</t>
  </si>
  <si>
    <t>water_supply</t>
  </si>
  <si>
    <t>freshwater_supply</t>
  </si>
  <si>
    <t>electricity</t>
  </si>
  <si>
    <t>GWa/Mt</t>
  </si>
  <si>
    <t>fueloil</t>
  </si>
  <si>
    <t>MJ/t</t>
  </si>
  <si>
    <t>output</t>
  </si>
  <si>
    <t>secondary_material</t>
  </si>
  <si>
    <t>graphite_concentrate</t>
  </si>
  <si>
    <t>Mt</t>
  </si>
  <si>
    <t>waste_material</t>
  </si>
  <si>
    <t>tailings</t>
  </si>
  <si>
    <t>emission_factor</t>
  </si>
  <si>
    <t>steam</t>
  </si>
  <si>
    <t>off-gas (CO2)</t>
  </si>
  <si>
    <t>technical_lifetime</t>
  </si>
  <si>
    <t>y</t>
  </si>
  <si>
    <t>capacity_factor</t>
  </si>
  <si>
    <t>%</t>
  </si>
  <si>
    <t>fix_cost</t>
  </si>
  <si>
    <t>MUSD/Mt</t>
  </si>
  <si>
    <t>var_cost</t>
  </si>
  <si>
    <t>inv_cost</t>
  </si>
  <si>
    <t>spheronization_purification_coating</t>
  </si>
  <si>
    <t>GWa/t</t>
  </si>
  <si>
    <t>gas</t>
  </si>
  <si>
    <t>final_material</t>
  </si>
  <si>
    <t>natural_graphite</t>
  </si>
  <si>
    <t>graphite_fines</t>
  </si>
  <si>
    <t>industrial_waste</t>
  </si>
  <si>
    <t>water</t>
  </si>
  <si>
    <t>https://www.northerngraphite.com/_resources/media/SPG-Summary-2.pdf</t>
  </si>
  <si>
    <t>technology</t>
  </si>
  <si>
    <t>region</t>
  </si>
  <si>
    <t>mode</t>
  </si>
  <si>
    <t>units</t>
  </si>
  <si>
    <t>production</t>
  </si>
  <si>
    <t>new_production</t>
  </si>
  <si>
    <t>year</t>
  </si>
  <si>
    <t>Source</t>
  </si>
  <si>
    <t>Assumptions</t>
  </si>
  <si>
    <t>Coal_tar_pitch_prep</t>
  </si>
  <si>
    <t>Baking_graphitization</t>
  </si>
  <si>
    <t>Needle_coke_prep</t>
  </si>
  <si>
    <t>Brine_extraction</t>
  </si>
  <si>
    <t>https://d9-wret.s3.us-west-2.amazonaws.com/assets/palladium/production/mineral-pubs/lithium/myb1-2010-lithi.pdf</t>
  </si>
  <si>
    <t>Assumed 10% of production for new_prod</t>
  </si>
  <si>
    <t>Brine_concentrate_processing</t>
  </si>
  <si>
    <t>Conversion_hydroxide</t>
  </si>
  <si>
    <t>https://d9-wret.s3.us-west-2.amazonaws.com/assets/palladium/production/mineral-pubs/lithium/myb1-2015-lithi.pdf</t>
  </si>
  <si>
    <t>new prod calculated as difference between production in 2010 and 2015 and divided by 5</t>
  </si>
  <si>
    <t>Spodumene_extraction</t>
  </si>
  <si>
    <t>spodumene_conversion</t>
  </si>
  <si>
    <t>HPAL_processing</t>
  </si>
  <si>
    <t>https://gigametals.com/site/assets/files/4861/2018-03-19-hpal.pdf</t>
  </si>
  <si>
    <t>nickel_sulfate_production</t>
  </si>
  <si>
    <t>https://d9-wret.s3.us-west-2.amazonaws.com/assets/palladium/production/mineral-pubs/nickel/myb1-2012-nicke.pdf</t>
  </si>
  <si>
    <t>https://d9-wret.s3.us-west-2.amazonaws.com/assets/palladium/production/atoms/files/myb1-2017-nickel-2.pdf</t>
  </si>
  <si>
    <t>Table 12 (p. 19), considering only "chemicals"</t>
  </si>
  <si>
    <t>Co-Cu_extraction</t>
  </si>
  <si>
    <t>Hydrometallurgical_CoCu</t>
  </si>
  <si>
    <t>cobalt_sulfate_production</t>
  </si>
  <si>
    <t>https://d9-wret.s3.us-west-2.amazonaws.com/assets/palladium/production/mineral-pubs/cobalt/myb1-2014-cobal.pdf</t>
  </si>
  <si>
    <t>Table 9 (p. 21), considering only entries with hydroxide or oxide</t>
  </si>
  <si>
    <t>https://d9-wret.s3.us-west-2.amazonaws.com/assets/palladium/production/atoms/files/myb1-2017-cobal.pdf</t>
  </si>
  <si>
    <t>Table 9 (p. 25), considering only entries with hydroxide or oxide</t>
  </si>
  <si>
    <t>Cu_electrowinning</t>
  </si>
  <si>
    <t>NMC811_anode_prep</t>
  </si>
  <si>
    <t>Market share in 2015 based on Xu et al (NMC622 4%, NMC811 1%, NCA16.6%, LFP 27.9%)</t>
  </si>
  <si>
    <t>NMC622_anode_prep</t>
  </si>
  <si>
    <t xml:space="preserve">The market share above leads to 50% of market share, while NMC423 and 111 are not implemented here. </t>
  </si>
  <si>
    <t xml:space="preserve">To calculate the capacities, I will do the following: </t>
  </si>
  <si>
    <t>LFP_anode_prep</t>
  </si>
  <si>
    <t>- Get total LIB manufacturing capacity installed in 2015 (in GWh)</t>
  </si>
  <si>
    <t>- Spread that by the market share of the different chemistries</t>
  </si>
  <si>
    <t>NCA_anode_prep</t>
  </si>
  <si>
    <t>- Multiply that by the energy density so we get the total materials used historically</t>
  </si>
  <si>
    <t>NMC811_cathode_prep</t>
  </si>
  <si>
    <t>NMC622_cathode_prep</t>
  </si>
  <si>
    <t>LFP_cathode_prep</t>
  </si>
  <si>
    <t>NCA_cathode_prep</t>
  </si>
  <si>
    <t>Cu_heapleaching</t>
  </si>
  <si>
    <t>https://d9-wret.s3.us-west-2.amazonaws.com/assets/palladium/production/mineral-pubs/copper/myb1-2013-coppe.pdf</t>
  </si>
  <si>
    <t xml:space="preserve">Table 22 (p. 29), considering "Other" </t>
  </si>
  <si>
    <t>https://pubs.usgs.gov/myb/vol1/2017/myb1-2017-copper.pdf</t>
  </si>
  <si>
    <t>NMC811_LIBmaufacturing</t>
  </si>
  <si>
    <t>MUSD/GWh</t>
  </si>
  <si>
    <t>NMC622_LIBmanufacturing</t>
  </si>
  <si>
    <t>LFP_LIBmanufacturing</t>
  </si>
  <si>
    <t>NCA_LIBmanufacturing</t>
  </si>
  <si>
    <t>parameter</t>
  </si>
  <si>
    <t>historical_activity</t>
  </si>
  <si>
    <t>historical_new_capacity</t>
  </si>
  <si>
    <t>NMC811_LIBmanufacturing</t>
  </si>
  <si>
    <t>GWh</t>
  </si>
  <si>
    <t>value</t>
  </si>
  <si>
    <t>availability</t>
  </si>
  <si>
    <t>Column1</t>
  </si>
  <si>
    <t>input|other_chemicals|final</t>
  </si>
  <si>
    <t>input|freshwater_supply|final</t>
  </si>
  <si>
    <t>output|graphite_concentrate|secondary_material</t>
  </si>
  <si>
    <t>output|tailings|waste_material</t>
  </si>
  <si>
    <t>input|graphite_concentrate|secondary_material</t>
  </si>
  <si>
    <t>output|graphite_fines|final_material</t>
  </si>
  <si>
    <t>output|industrial_waste|waste_material</t>
  </si>
  <si>
    <t>output|water|waste_material</t>
  </si>
  <si>
    <t>freshwater_supply supply</t>
  </si>
  <si>
    <t>output|freshwater_supply|final</t>
  </si>
  <si>
    <t>other_chemicals supply</t>
  </si>
  <si>
    <t>output|other_chemicals|final</t>
  </si>
  <si>
    <t>output|coal_tar_pitch|secondary_material</t>
  </si>
  <si>
    <t>input|green_coke|final</t>
  </si>
  <si>
    <t>input|crude_oil|final</t>
  </si>
  <si>
    <t>output|needle_coke|secondary_material</t>
  </si>
  <si>
    <t>input|needle_coke|secondary_material</t>
  </si>
  <si>
    <t>https://www.dancarbon.com/blog/graphiteelectrode/310.html</t>
  </si>
  <si>
    <t>input|coal_tar_pitch|secondary_material</t>
  </si>
  <si>
    <t>output|synthetic_graphite|final_material</t>
  </si>
  <si>
    <t>https://doi.org/10.4028/www.scientific.net/AMR.849.380</t>
  </si>
  <si>
    <t>https://www.dancarbon.com/q/carbon/pet-coke-price-249.html</t>
  </si>
  <si>
    <t>green_coke_supply</t>
  </si>
  <si>
    <t>output|green_coke|final</t>
  </si>
  <si>
    <t>crude_oil_supply</t>
  </si>
  <si>
    <t>output|crude_oil|final</t>
  </si>
  <si>
    <t>I have to mass balance this.</t>
  </si>
  <si>
    <t>This should be corrected. It is in m3, but I assumed 1 m3 equals 1 Mt</t>
  </si>
  <si>
    <t>output|brine_concentrate|secondary_material</t>
  </si>
  <si>
    <t>output|potash|final</t>
  </si>
  <si>
    <t>input|brine_concentrate|secondary_material</t>
  </si>
  <si>
    <t>input|sodium_carbonate|final</t>
  </si>
  <si>
    <t>output|lithium_carbonate|tertiary_material</t>
  </si>
  <si>
    <t>input|lithium_carbonate|tertiary_material</t>
  </si>
  <si>
    <t>input|quicklime|final</t>
  </si>
  <si>
    <t>output|lithium_hydroxide|final_material</t>
  </si>
  <si>
    <t>Random numbers. I need to run this</t>
  </si>
  <si>
    <t>https://doi.org/10.1016/j.exis.2021.100984</t>
  </si>
  <si>
    <t>https://www.statista.com/statistics/1081054/cost-projection-produce-battery-grade-lithium-hydroxide-by-feedstock/</t>
  </si>
  <si>
    <t>sodiumcarbonate_supply</t>
  </si>
  <si>
    <t>output|sodium_carbonate|final</t>
  </si>
  <si>
    <t>quicklime_supply</t>
  </si>
  <si>
    <t>output|quicklime|final</t>
  </si>
  <si>
    <t>output|spodumene_concentrate|secondary_material</t>
  </si>
  <si>
    <t>input|spodumene_concentrate|secondary_material</t>
  </si>
  <si>
    <t>In spodumene conversion I am missing coal and steam</t>
  </si>
  <si>
    <t>output|sodium_sulphate|final</t>
  </si>
  <si>
    <t>https://pages.marketintelligence.spglobal.com/lithium-sector-outlook-costs-and-margins-confirmation-CD.html</t>
  </si>
  <si>
    <t>https://piedmontlithium.com/wp-content/uploads/220309-Piedmont-Expands-LiOH-Plans-to-60k-with-Second-LiOH-Plant-USA-FINAL-1.pdf</t>
  </si>
  <si>
    <t>output|nickel_class1|secondary_material</t>
  </si>
  <si>
    <t>output|cobalt_hydroxide|secondary_material</t>
  </si>
  <si>
    <t>input|nickel_class1|secondary_material</t>
  </si>
  <si>
    <t>output|hydrogen|final</t>
  </si>
  <si>
    <t>output|nickel_sulfate|final_material</t>
  </si>
  <si>
    <t>output|Co-Cu_concentrate|secondary_material</t>
  </si>
  <si>
    <t>input|Co-Cu_concentrate|secondary_material</t>
  </si>
  <si>
    <t>output|copper_intermediate|tertiary_material</t>
  </si>
  <si>
    <t>input|cobalt_hydroxide|secondary_material</t>
  </si>
  <si>
    <t>output|cobalt_sulfate|final_material</t>
  </si>
  <si>
    <t>input|copper_intermediate|tertiary_material</t>
  </si>
  <si>
    <t>output|copper_metal|final_material</t>
  </si>
  <si>
    <t>Nickel production, pice and extraction costs</t>
  </si>
  <si>
    <t>Based on roskill numbers</t>
  </si>
  <si>
    <t>https://www.resourcesrisingstars.com.au/sites/default/files/NZC_160418.pdf</t>
  </si>
  <si>
    <t>Taken from "calculation-CoCu sheet"</t>
  </si>
  <si>
    <t>Taken from "calculation-CoCu sheet" and subtracted Co-cu inv cost</t>
  </si>
  <si>
    <t>Taken from "calculation-CoCu sheet" and allocated 50%</t>
  </si>
  <si>
    <t>Taken from "calculation-CoCu sheet" and assumed 50% of Cu processing</t>
  </si>
  <si>
    <t>https://iopscience.iop.org/article/10.1149/2.F06202IF/pdf</t>
  </si>
  <si>
    <t>input|synthetic_graphite|final_material</t>
  </si>
  <si>
    <t>input|natural_graphite|final_material</t>
  </si>
  <si>
    <t>input|copper_metal|final_material</t>
  </si>
  <si>
    <t>output|NMC811_anode|final</t>
  </si>
  <si>
    <t>output|NMC622_anode|final</t>
  </si>
  <si>
    <t>Same as NMC622 proxy</t>
  </si>
  <si>
    <t>output|LFP_anode|final</t>
  </si>
  <si>
    <t>output|NCA_anode|final</t>
  </si>
  <si>
    <t>input|cobalt_sulfate|final_material</t>
  </si>
  <si>
    <t>input|nickel_sulfate|final_material</t>
  </si>
  <si>
    <t>input|lithium_hydroxide|final_material</t>
  </si>
  <si>
    <t>input|other_materials|final_material</t>
  </si>
  <si>
    <t>output|NMC811_cathode|final</t>
  </si>
  <si>
    <t>output|NMC622_cathode|final</t>
  </si>
  <si>
    <t>output|LFP_cathode|final</t>
  </si>
  <si>
    <t>output|NCA_cathode|final</t>
  </si>
  <si>
    <t>input|NMC811_anode|final</t>
  </si>
  <si>
    <t>Mt/GWh</t>
  </si>
  <si>
    <t>input|NMC811_cathode|final</t>
  </si>
  <si>
    <t>GWa/GWh</t>
  </si>
  <si>
    <t>output|NMC811_LIB|final</t>
  </si>
  <si>
    <t>input|NMC622_anode|final</t>
  </si>
  <si>
    <t>input|NMC622_cathode|final</t>
  </si>
  <si>
    <t>output|NMC622_LIB|final</t>
  </si>
  <si>
    <t>input|LFP_anode|final</t>
  </si>
  <si>
    <t>input|LFP_cathode|final</t>
  </si>
  <si>
    <t>output|LFP_LIB|final</t>
  </si>
  <si>
    <t>input|NCA_anode|final</t>
  </si>
  <si>
    <t>input|NCA_cathode|final</t>
  </si>
  <si>
    <t>output|NCA_LIB|final</t>
  </si>
  <si>
    <t>Other_materials_supply</t>
  </si>
  <si>
    <t>output|other_materials|final_material</t>
  </si>
  <si>
    <t>GWh/Mt</t>
  </si>
  <si>
    <t>kWh/kg</t>
  </si>
  <si>
    <t>NMC811</t>
  </si>
  <si>
    <t>NMC622</t>
  </si>
  <si>
    <t>LFP</t>
  </si>
  <si>
    <t>NCA</t>
  </si>
  <si>
    <t>China</t>
  </si>
  <si>
    <t>output|natural_graphite|final_material</t>
  </si>
  <si>
    <t>input|electr|final</t>
  </si>
  <si>
    <t>input|fueloil|final</t>
  </si>
  <si>
    <t xml:space="preserve">Ask Volker about this. Should this be renamed to represent unique "entries" to avoid misuse in the future? </t>
  </si>
  <si>
    <t>input|coal|final</t>
  </si>
  <si>
    <t>input|i_therm|useful</t>
  </si>
  <si>
    <t>TODO</t>
  </si>
  <si>
    <t>- Add GWP for 'other_chemicals'. This will be 2 Mton CO2-eq/Mton based on ecoinvent</t>
  </si>
  <si>
    <t>- Add tap water. It has a GWP footprint of 0.00088 Mton CO2eq/Mton according to ecoinvent's global process</t>
  </si>
  <si>
    <t>- Add the capacities from the 'capacities' tab</t>
  </si>
  <si>
    <t>- Revisit cost numbers to align them with market values</t>
  </si>
  <si>
    <t>- Add quickline GWP footprint, which is 1.2 Mton CO2eq/Mton according to ecoinvent</t>
  </si>
  <si>
    <t>- Add sodium carbonate (soda ash) GWP footprint, which has a value of 0.385 Mton CO2eq/Mton according to ecoinvent's average between EU and RoW footprints</t>
  </si>
  <si>
    <t>- Add battery production capacities</t>
  </si>
  <si>
    <t>- Double check material inputs per Li-ion battery</t>
  </si>
  <si>
    <t>From 'data file from Sina</t>
  </si>
  <si>
    <t>https://www.fastmarkets.com/insights/global-lithium-supply-developing-at-accelerating-pace-on-growing-demand</t>
  </si>
  <si>
    <t>More or less guessed</t>
  </si>
  <si>
    <t>Used value from2016</t>
  </si>
  <si>
    <t>node</t>
  </si>
  <si>
    <t>commodity</t>
  </si>
  <si>
    <t>level</t>
  </si>
  <si>
    <t>unit</t>
  </si>
  <si>
    <t>LFP_LIB</t>
  </si>
  <si>
    <t>NCA_LIB</t>
  </si>
  <si>
    <t>NMC811_LIB</t>
  </si>
  <si>
    <t>NMC622_LIB</t>
  </si>
  <si>
    <t>GWH/year</t>
  </si>
  <si>
    <t>Time</t>
  </si>
  <si>
    <t>time</t>
  </si>
  <si>
    <t>Dummy number so far. Added a 0 in highlighted cells</t>
  </si>
  <si>
    <t>Based on Manjong's paper</t>
  </si>
  <si>
    <t>Source:</t>
  </si>
  <si>
    <t>Benchmark minerals</t>
  </si>
  <si>
    <t>Reference year:</t>
  </si>
  <si>
    <t xml:space="preserve">Description: </t>
  </si>
  <si>
    <t>Specific to China, does not present other countries</t>
  </si>
  <si>
    <t>Sourcing</t>
  </si>
  <si>
    <t>Others</t>
  </si>
  <si>
    <t>Refining</t>
  </si>
  <si>
    <t>Electrodes</t>
  </si>
  <si>
    <t>Battery cell</t>
  </si>
  <si>
    <t>Li</t>
  </si>
  <si>
    <t>Co</t>
  </si>
  <si>
    <t>Ni</t>
  </si>
  <si>
    <t>Natural C</t>
  </si>
  <si>
    <t>Synthetic C</t>
  </si>
  <si>
    <t>Anode</t>
  </si>
  <si>
    <t>Cathode</t>
  </si>
  <si>
    <t>Full cell</t>
  </si>
  <si>
    <t>Assumed ore grade of 6% based on Natural graphite production</t>
  </si>
  <si>
    <t>https://d9-wret.s3-us-west-2.amazonaws.com/assets/palladium/production/atoms/files/myb1-2016-graph.pdf</t>
  </si>
  <si>
    <t>Amorphous + flake</t>
  </si>
  <si>
    <t>https://www.sciencedirect.com/science/article/pii/S2238785422017069#:~:text=The%20graphite%20concentrate%20(PG1)%20with,fixed%20carbon%20content%20of%2099.93%25.</t>
  </si>
  <si>
    <t>Source for C content:</t>
  </si>
  <si>
    <t>https://d9-wret.s3.us-west-2.amazonaws.com/assets/palladium/production/mineral-pubs/graphite/myb1-2013-graph.pdf</t>
  </si>
  <si>
    <t>Assumed 6% C content</t>
  </si>
  <si>
    <t>Changed this to have CoOH2 as reference flow</t>
  </si>
  <si>
    <t>Cobalt refinery from Co USGS 2012</t>
  </si>
  <si>
    <t>Cobalt refinery from Co USGS 2017</t>
  </si>
  <si>
    <t>World refinery production, multiplied by 75% which is China's market share</t>
  </si>
  <si>
    <t>No data from USGS</t>
  </si>
  <si>
    <t>USGS Nickel 2013, world plant production only coinsidering chemicals entry</t>
  </si>
  <si>
    <t>USGS Nickel 2017, world plant production only coinsidering chemicals entry</t>
  </si>
  <si>
    <t>R12_CHN</t>
  </si>
  <si>
    <t>input|NMC811_LIB|final</t>
  </si>
  <si>
    <t>output|NMC811_LIB|export</t>
  </si>
  <si>
    <t>input|NMC811_LIB|import</t>
  </si>
  <si>
    <t>R12_GLB</t>
  </si>
  <si>
    <t>trade_NMC811</t>
  </si>
  <si>
    <t>input|NMC811_LIB|export</t>
  </si>
  <si>
    <t>output|NMC811_LIB|import</t>
  </si>
  <si>
    <t>input|LFP_LIB|final</t>
  </si>
  <si>
    <t>output|LFP_LIB|export</t>
  </si>
  <si>
    <t>input|LFP_LIB|import</t>
  </si>
  <si>
    <t>input|NMC622_LIB|final</t>
  </si>
  <si>
    <t>output|NMC622_LIB|export</t>
  </si>
  <si>
    <t>input|NMC622_LIB|import</t>
  </si>
  <si>
    <t>output|NCA_LIB|export</t>
  </si>
  <si>
    <t>input|NCA_LIB|import</t>
  </si>
  <si>
    <t>trade_NMC622</t>
  </si>
  <si>
    <t>input|NMC622_LIB|export</t>
  </si>
  <si>
    <t>output|NMC622_LIB|import</t>
  </si>
  <si>
    <t>trade_LFP</t>
  </si>
  <si>
    <t>input|LFP_LIB|export</t>
  </si>
  <si>
    <t>output|LFP_LIB|import</t>
  </si>
  <si>
    <t>trade_NCA</t>
  </si>
  <si>
    <t>input|NCA_LIB|export</t>
  </si>
  <si>
    <t>output|NCA_LIB|import</t>
  </si>
  <si>
    <t>mining_flotation_graphite_export</t>
  </si>
  <si>
    <t>mining_flotation_graphite_import</t>
  </si>
  <si>
    <t>spheronization_purification_coating_export</t>
  </si>
  <si>
    <t>spheronization_purification_coating_import</t>
  </si>
  <si>
    <t>output|graphite_concentrate|export</t>
  </si>
  <si>
    <t>input|graphite_concentrate|import</t>
  </si>
  <si>
    <t>input|natural_graphite|final</t>
  </si>
  <si>
    <t>output|natural_graphite|export</t>
  </si>
  <si>
    <t>input|natural_graphite|import</t>
  </si>
  <si>
    <t>output|natural_graphite|final</t>
  </si>
  <si>
    <t>output|coal_tar_pitch|export</t>
  </si>
  <si>
    <t>input|coal_tar_pitch|import</t>
  </si>
  <si>
    <t>output|needle_coke|export</t>
  </si>
  <si>
    <t>input|needle_coke|import</t>
  </si>
  <si>
    <t>output|synthetic_graphite|export</t>
  </si>
  <si>
    <t>input|synthetic_graphite|import</t>
  </si>
  <si>
    <t>output|lithium_carbonate|export</t>
  </si>
  <si>
    <t>input|lithium_carbonate|import</t>
  </si>
  <si>
    <t>output|brine_concentrate|export</t>
  </si>
  <si>
    <t>input|brine_concentrate|import</t>
  </si>
  <si>
    <t>output|lithium_hydroxide|export</t>
  </si>
  <si>
    <t>input|lithium_hydroxide|import</t>
  </si>
  <si>
    <t>output|spodumene_concentrate|export</t>
  </si>
  <si>
    <t>input|spodumene_concentrate|import</t>
  </si>
  <si>
    <t>output|nickel_sulfate|export</t>
  </si>
  <si>
    <t>input|nickel_sulfate|import</t>
  </si>
  <si>
    <t>output|Co-Cu_concentrate|export</t>
  </si>
  <si>
    <t>input|Co-Cu_concentrate|import</t>
  </si>
  <si>
    <t>output|cobalt_sulfate|export</t>
  </si>
  <si>
    <t>input|cobalt_sulfate|import</t>
  </si>
  <si>
    <t>output|copper_metal|export</t>
  </si>
  <si>
    <t>input|copper_metal|import</t>
  </si>
  <si>
    <t>output|NMC811_anode|export</t>
  </si>
  <si>
    <t>input|NMC811_anode|import</t>
  </si>
  <si>
    <t>output|NMC811_cathode|export</t>
  </si>
  <si>
    <t>input|NMC811_cathode|import</t>
  </si>
  <si>
    <t>output|NMC622_anode|export</t>
  </si>
  <si>
    <t>input|NMC622_anode|import</t>
  </si>
  <si>
    <t>output|LFP_anode|export</t>
  </si>
  <si>
    <t>input|LFP_anode|import</t>
  </si>
  <si>
    <t>output|NCA_anode|export</t>
  </si>
  <si>
    <t>input|NCA_anode|import</t>
  </si>
  <si>
    <t>output|NMC622_cathode|export</t>
  </si>
  <si>
    <t>input|NMC622_cathode|import</t>
  </si>
  <si>
    <t>output|LFP_cathode|export</t>
  </si>
  <si>
    <t>input|LFP_cathode|import</t>
  </si>
  <si>
    <t>output|NCA_cathode|export</t>
  </si>
  <si>
    <t>input|NCA_cathode|import</t>
  </si>
  <si>
    <t>output|nickel_class1|export</t>
  </si>
  <si>
    <t>input|nickel_class1|import</t>
  </si>
  <si>
    <t>output|cobalt_hydroxide|export</t>
  </si>
  <si>
    <t>input|cobalt_hydroxide|import</t>
  </si>
  <si>
    <t>output|copper_intermediate|export</t>
  </si>
  <si>
    <t>input|copper_intermediate|import</t>
  </si>
  <si>
    <t>trade_graphite_concentrate</t>
  </si>
  <si>
    <t>input|graphite_concentrate|export</t>
  </si>
  <si>
    <t>output|graphite_concentrate|import</t>
  </si>
  <si>
    <t>input|natural_graphite|export</t>
  </si>
  <si>
    <t>trade_natural_graphite</t>
  </si>
  <si>
    <t>trade_coal_tar_pitch</t>
  </si>
  <si>
    <t>input|coal_tar_pitch|export</t>
  </si>
  <si>
    <t>output|coal_tar_pitch|import</t>
  </si>
  <si>
    <t>trade_synthetic_graphite</t>
  </si>
  <si>
    <t>input|synthetic_graphite|export</t>
  </si>
  <si>
    <t>output|synthetic_graphite|import</t>
  </si>
  <si>
    <t>input|needle_coke|export</t>
  </si>
  <si>
    <t>output|needle_coke|import</t>
  </si>
  <si>
    <t>trade_needle_coke</t>
  </si>
  <si>
    <t>trade_lithium_carbonate</t>
  </si>
  <si>
    <t>input|lithium_carbonate|export</t>
  </si>
  <si>
    <t>output|lithium_carbonate|import</t>
  </si>
  <si>
    <t>trade_brine_concentrate</t>
  </si>
  <si>
    <t>input|brine_concentrate|export</t>
  </si>
  <si>
    <t>output|brine_concentrate|import</t>
  </si>
  <si>
    <t>input|lithium_hydroxide|export</t>
  </si>
  <si>
    <t>output|lithium_hydroxide|import</t>
  </si>
  <si>
    <t>trade_lithium_hydroxide</t>
  </si>
  <si>
    <t>input|spodumene_concentrate|export</t>
  </si>
  <si>
    <t>output|spodumene_concentrate|import</t>
  </si>
  <si>
    <t>trade_spodumene_concentrate</t>
  </si>
  <si>
    <t>input|nickel_class1|export</t>
  </si>
  <si>
    <t>output|nickel_class1|import</t>
  </si>
  <si>
    <t>trade_nickel_class1</t>
  </si>
  <si>
    <t>input|cobalt_hydroxide|export</t>
  </si>
  <si>
    <t>output|cobalt_hydroxide|import</t>
  </si>
  <si>
    <t>trade_cobalt_hydroxide</t>
  </si>
  <si>
    <t>input|nickel_sulfate|export</t>
  </si>
  <si>
    <t>output|nickel_sulfate|import</t>
  </si>
  <si>
    <t>trade_nickel_sulfate</t>
  </si>
  <si>
    <t>input|Co-Cu_concentrate|export</t>
  </si>
  <si>
    <t>output|Co-Cu_concentrate|import</t>
  </si>
  <si>
    <t>trade_Co-Cu_concentrate</t>
  </si>
  <si>
    <t>input|copper_intermediate|export</t>
  </si>
  <si>
    <t>output|copper_intermediate|import</t>
  </si>
  <si>
    <t>trade_copper_intermediate</t>
  </si>
  <si>
    <t>input|cobalt_sulfate|export</t>
  </si>
  <si>
    <t>output|cobalt_sulfate|import</t>
  </si>
  <si>
    <t>trade_cobalt_sulfate</t>
  </si>
  <si>
    <t>input|copper_metal|export</t>
  </si>
  <si>
    <t>output|copper_metal|import</t>
  </si>
  <si>
    <t>trade_copper_metal</t>
  </si>
  <si>
    <t>input|NMC811_anode|export</t>
  </si>
  <si>
    <t>output|NMC811_anode|import</t>
  </si>
  <si>
    <t>trade_NMC811_anode</t>
  </si>
  <si>
    <t>input|NMC811_cathode|export</t>
  </si>
  <si>
    <t>output|NMC811_cathode|import</t>
  </si>
  <si>
    <t>trade_NMC811_cathode</t>
  </si>
  <si>
    <t>input|NCA_anode|export</t>
  </si>
  <si>
    <t>output|NCA_anode|import</t>
  </si>
  <si>
    <t>trade_NCA_anode</t>
  </si>
  <si>
    <t>trade_NCA_cathode</t>
  </si>
  <si>
    <t>input|NCA_cathode|export</t>
  </si>
  <si>
    <t>output|NCA_cathode|import</t>
  </si>
  <si>
    <t>input|LFP_anode|export</t>
  </si>
  <si>
    <t>output|LFP_anode|import</t>
  </si>
  <si>
    <t>trade_LFP_anode</t>
  </si>
  <si>
    <t>input|LFP_cathode|export</t>
  </si>
  <si>
    <t>output|LFP_cathode|import</t>
  </si>
  <si>
    <t>trade_LFP_cathode</t>
  </si>
  <si>
    <t>input|NMC622_anode|export</t>
  </si>
  <si>
    <t>output|NMC622_anode|import</t>
  </si>
  <si>
    <t>trade_NMC622_anode</t>
  </si>
  <si>
    <t>input|NMC622_cathode|export</t>
  </si>
  <si>
    <t>output|NMC622_cathode|import</t>
  </si>
  <si>
    <t>trade_NMC622_cathode</t>
  </si>
  <si>
    <t>R12_PAO</t>
  </si>
  <si>
    <t>R12_AFR</t>
  </si>
  <si>
    <t>Concentrates + leaching electrowon</t>
  </si>
  <si>
    <t>R12_NAM</t>
  </si>
  <si>
    <t>Cobalt USGS 2017 yearbook</t>
  </si>
  <si>
    <t>Cobalt USGS 2012 yearbook</t>
  </si>
  <si>
    <t>R12_LAM</t>
  </si>
  <si>
    <t>R12_WEU</t>
  </si>
  <si>
    <t>Cobalt USGS world refinery production</t>
  </si>
  <si>
    <t>Kept same as 2010 because it was lower</t>
  </si>
  <si>
    <t>R12_PAS</t>
  </si>
  <si>
    <t>USGS yearbooks, Cobalt 2012</t>
  </si>
  <si>
    <t>Dividing by 0.6344 because values inUSGS tables refer to CO content and I normalize by COOH2</t>
  </si>
  <si>
    <t>USGS yearbooks, Cobalt 2017</t>
  </si>
  <si>
    <t>output|natural_graphite|import</t>
  </si>
  <si>
    <t>Two trade techs for Cu metal?!?!</t>
  </si>
  <si>
    <t>input|NCA_LIB|final</t>
  </si>
  <si>
    <t>NMC811_export</t>
  </si>
  <si>
    <t>NMC811_import</t>
  </si>
  <si>
    <t>LFP_export</t>
  </si>
  <si>
    <t>LFP_import</t>
  </si>
  <si>
    <t>NMC622_export</t>
  </si>
  <si>
    <t>NMC622_import</t>
  </si>
  <si>
    <t>NCA_export</t>
  </si>
  <si>
    <t>NCA_import</t>
  </si>
  <si>
    <t>coal_tar_pitch_prep_export</t>
  </si>
  <si>
    <t>coal_tar_pitch_prep_import</t>
  </si>
  <si>
    <t>baking_graphitization_export</t>
  </si>
  <si>
    <t>baking_graphitization_import</t>
  </si>
  <si>
    <t>needle_coke_prep_export</t>
  </si>
  <si>
    <t>needle_coke_prep_import</t>
  </si>
  <si>
    <t>brine_concentrate_processing_export</t>
  </si>
  <si>
    <t>brine_concentrate_processing_import</t>
  </si>
  <si>
    <t>brine_extraction_export</t>
  </si>
  <si>
    <t>brine_extraction_import</t>
  </si>
  <si>
    <t>conversion_hydroxide_export</t>
  </si>
  <si>
    <t>conversion_hydroxide_import</t>
  </si>
  <si>
    <t>spodumene_extraction_export</t>
  </si>
  <si>
    <t>spodumene_extraction_import</t>
  </si>
  <si>
    <t>spodumene_conversion_export</t>
  </si>
  <si>
    <t>spodumene_conversion_import</t>
  </si>
  <si>
    <t>HPAL_processing_Ni_export</t>
  </si>
  <si>
    <t>HPAL_processing_Ni_import</t>
  </si>
  <si>
    <t>HPAL_processing_Co_export</t>
  </si>
  <si>
    <t>HPAL_processing_Co_import</t>
  </si>
  <si>
    <t>nickel_sulfate_production_export</t>
  </si>
  <si>
    <t>nickel_sulfate_production_import</t>
  </si>
  <si>
    <t>Co-Cu_extraction_export</t>
  </si>
  <si>
    <t>Co-Cu_extraction_import</t>
  </si>
  <si>
    <t>hydrometallurgical_CoCu_Co_export</t>
  </si>
  <si>
    <t>hydrometallurgical_CoCu_Co_import</t>
  </si>
  <si>
    <t>cobalt_sulfate_production_export</t>
  </si>
  <si>
    <t>cobalt_sulfate_production_import</t>
  </si>
  <si>
    <t>Cu_electrowinnng_export</t>
  </si>
  <si>
    <t>Cu_electrowinnng_import</t>
  </si>
  <si>
    <t>Cu_heapleaching_export</t>
  </si>
  <si>
    <t>Cu_heapleaching_import</t>
  </si>
  <si>
    <t>NMC811_anode_export</t>
  </si>
  <si>
    <t>NMC811_anode_import</t>
  </si>
  <si>
    <t>NMC811_cathode_export</t>
  </si>
  <si>
    <t>NMC811_cathode_import</t>
  </si>
  <si>
    <t>NMC622_anode_export</t>
  </si>
  <si>
    <t>NMC622_anode_import</t>
  </si>
  <si>
    <t>LFP_anode_export</t>
  </si>
  <si>
    <t>LFP_anode_import</t>
  </si>
  <si>
    <t>NCA_anode_export</t>
  </si>
  <si>
    <t>NCA_anode_import</t>
  </si>
  <si>
    <t>NMC622_cathode_export</t>
  </si>
  <si>
    <t>NMC622_cathode_import</t>
  </si>
  <si>
    <t>LFP_cathode_export</t>
  </si>
  <si>
    <t>LFP_cathode_import</t>
  </si>
  <si>
    <t>NCA_cathode_export</t>
  </si>
  <si>
    <t>NCA_cathode_import</t>
  </si>
  <si>
    <t>input|aluminum|final_material</t>
  </si>
  <si>
    <t>lundind mining corporation technical report for mine page 122</t>
  </si>
  <si>
    <t>Removed ammonium sulfate (30,143 Mt)</t>
  </si>
  <si>
    <t>input|coal_new|final</t>
  </si>
  <si>
    <t>output|coal_new|final</t>
  </si>
  <si>
    <t>coal_dummy_supply</t>
  </si>
  <si>
    <t xml:space="preserve">GWa </t>
  </si>
  <si>
    <t>grade</t>
  </si>
  <si>
    <t>a</t>
  </si>
  <si>
    <t>li_brine</t>
  </si>
  <si>
    <t>spodumene_ore</t>
  </si>
  <si>
    <t>laterite_ores</t>
  </si>
  <si>
    <t>Co-Cu_ore</t>
  </si>
  <si>
    <t>copper_ore</t>
  </si>
  <si>
    <t>input|graphite_ore|resource</t>
  </si>
  <si>
    <t>input|li_brine|resource</t>
  </si>
  <si>
    <t>input|spodumene_ore|resource</t>
  </si>
  <si>
    <t>input|laterite_ores|resource</t>
  </si>
  <si>
    <t>input|Co-Cu_ore|resource</t>
  </si>
  <si>
    <t>input|copper_ore|resource</t>
  </si>
  <si>
    <t>R12_RCPA</t>
  </si>
  <si>
    <t>R12_EEU</t>
  </si>
  <si>
    <t>R12_FSU</t>
  </si>
  <si>
    <t>R12_MEA</t>
  </si>
  <si>
    <t>R12_SAS</t>
  </si>
  <si>
    <t>brine processing</t>
  </si>
  <si>
    <t>extraction</t>
  </si>
  <si>
    <t>Li brine</t>
  </si>
  <si>
    <t>Li spodumene</t>
  </si>
  <si>
    <t xml:space="preserve"> </t>
  </si>
  <si>
    <t>Co from Ni</t>
  </si>
  <si>
    <t>Co from Cu</t>
  </si>
  <si>
    <t>C</t>
  </si>
  <si>
    <t>hydrometallurgical_CoCu_Cu_export</t>
  </si>
  <si>
    <t>hydrometallurgical_CoCu_Cu_import</t>
  </si>
  <si>
    <t>Mtr/GWh</t>
  </si>
  <si>
    <t>all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</si>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</sst>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scheme val="minor"/>
    </font>
    <font>
      <sz val="11"/>
      <name val="Calibri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12" fillId="0" borderId="0" applyNumberFormat="0" applyFill="0" applyBorder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2" applyNumberFormat="0" applyAlignment="0" applyProtection="0"/>
    <xf numFmtId="0" fontId="20" fillId="10" borderId="13" applyNumberFormat="0" applyAlignment="0" applyProtection="0"/>
    <xf numFmtId="0" fontId="21" fillId="10" borderId="12" applyNumberFormat="0" applyAlignment="0" applyProtection="0"/>
    <xf numFmtId="0" fontId="22" fillId="0" borderId="14" applyNumberFormat="0" applyFill="0" applyAlignment="0" applyProtection="0"/>
    <xf numFmtId="0" fontId="23" fillId="11" borderId="15" applyNumberFormat="0" applyAlignment="0" applyProtection="0"/>
    <xf numFmtId="0" fontId="24" fillId="0" borderId="0" applyNumberFormat="0" applyFill="0" applyBorder="0" applyAlignment="0" applyProtection="0"/>
    <xf numFmtId="0" fontId="1" fillId="12" borderId="16" applyNumberFormat="0" applyFont="0" applyAlignment="0" applyProtection="0"/>
    <xf numFmtId="0" fontId="25" fillId="0" borderId="0" applyNumberFormat="0" applyFill="0" applyBorder="0" applyAlignment="0" applyProtection="0"/>
    <xf numFmtId="0" fontId="4" fillId="0" borderId="17" applyNumberFormat="0" applyFill="0" applyAlignment="0" applyProtection="0"/>
    <xf numFmtId="0" fontId="2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</cellStyleXfs>
  <cellXfs count="174">
    <xf numFmtId="0" fontId="0" fillId="0" borderId="0" xfId="0"/>
    <xf numFmtId="0" fontId="0" fillId="0" borderId="0" xfId="0" applyAlignment="1">
      <alignment horizontal="left"/>
    </xf>
    <xf numFmtId="4" fontId="3" fillId="0" borderId="0" xfId="0" applyNumberFormat="1" applyFont="1"/>
    <xf numFmtId="2" fontId="3" fillId="0" borderId="0" xfId="0" applyNumberFormat="1" applyFont="1" applyAlignment="1">
      <alignment horizontal="right"/>
    </xf>
    <xf numFmtId="2" fontId="3" fillId="0" borderId="0" xfId="0" applyNumberFormat="1" applyFont="1"/>
    <xf numFmtId="164" fontId="3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horizontal="right"/>
    </xf>
    <xf numFmtId="2" fontId="2" fillId="0" borderId="0" xfId="2" applyNumberFormat="1"/>
    <xf numFmtId="2" fontId="3" fillId="0" borderId="0" xfId="1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1" fontId="3" fillId="0" borderId="0" xfId="0" applyNumberFormat="1" applyFont="1" applyAlignment="1">
      <alignment horizontal="right"/>
    </xf>
    <xf numFmtId="0" fontId="4" fillId="0" borderId="0" xfId="0" applyFont="1"/>
    <xf numFmtId="2" fontId="3" fillId="0" borderId="2" xfId="0" applyNumberFormat="1" applyFont="1" applyBorder="1" applyAlignment="1">
      <alignment horizontal="right"/>
    </xf>
    <xf numFmtId="4" fontId="3" fillId="2" borderId="0" xfId="0" applyNumberFormat="1" applyFont="1" applyFill="1"/>
    <xf numFmtId="4" fontId="3" fillId="0" borderId="5" xfId="0" applyNumberFormat="1" applyFont="1" applyBorder="1"/>
    <xf numFmtId="0" fontId="0" fillId="0" borderId="5" xfId="0" applyBorder="1"/>
    <xf numFmtId="2" fontId="3" fillId="0" borderId="5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right"/>
    </xf>
    <xf numFmtId="2" fontId="3" fillId="0" borderId="5" xfId="0" applyNumberFormat="1" applyFont="1" applyBorder="1"/>
    <xf numFmtId="0" fontId="6" fillId="0" borderId="0" xfId="0" applyFont="1"/>
    <xf numFmtId="11" fontId="0" fillId="0" borderId="5" xfId="0" applyNumberFormat="1" applyBorder="1" applyAlignment="1">
      <alignment horizontal="right"/>
    </xf>
    <xf numFmtId="2" fontId="2" fillId="0" borderId="0" xfId="2" applyNumberFormat="1" applyBorder="1"/>
    <xf numFmtId="164" fontId="3" fillId="0" borderId="5" xfId="0" applyNumberFormat="1" applyFont="1" applyBorder="1" applyAlignment="1">
      <alignment horizontal="right"/>
    </xf>
    <xf numFmtId="4" fontId="0" fillId="0" borderId="0" xfId="0" applyNumberFormat="1"/>
    <xf numFmtId="0" fontId="6" fillId="0" borderId="5" xfId="0" applyFont="1" applyBorder="1"/>
    <xf numFmtId="4" fontId="3" fillId="0" borderId="6" xfId="0" applyNumberFormat="1" applyFont="1" applyBorder="1"/>
    <xf numFmtId="1" fontId="3" fillId="0" borderId="6" xfId="0" applyNumberFormat="1" applyFont="1" applyBorder="1" applyAlignment="1">
      <alignment horizontal="right"/>
    </xf>
    <xf numFmtId="0" fontId="6" fillId="0" borderId="6" xfId="0" applyFont="1" applyBorder="1"/>
    <xf numFmtId="0" fontId="0" fillId="0" borderId="6" xfId="0" applyBorder="1"/>
    <xf numFmtId="2" fontId="3" fillId="0" borderId="0" xfId="0" applyNumberFormat="1" applyFont="1" applyAlignment="1">
      <alignment horizontal="center"/>
    </xf>
    <xf numFmtId="164" fontId="3" fillId="3" borderId="5" xfId="0" applyNumberFormat="1" applyFont="1" applyFill="1" applyBorder="1" applyAlignment="1">
      <alignment horizontal="right"/>
    </xf>
    <xf numFmtId="4" fontId="3" fillId="0" borderId="2" xfId="0" applyNumberFormat="1" applyFont="1" applyBorder="1"/>
    <xf numFmtId="4" fontId="3" fillId="2" borderId="2" xfId="0" applyNumberFormat="1" applyFont="1" applyFill="1" applyBorder="1"/>
    <xf numFmtId="0" fontId="2" fillId="0" borderId="0" xfId="2"/>
    <xf numFmtId="2" fontId="2" fillId="0" borderId="5" xfId="2" applyNumberFormat="1" applyBorder="1"/>
    <xf numFmtId="1" fontId="0" fillId="0" borderId="0" xfId="0" applyNumberFormat="1"/>
    <xf numFmtId="2" fontId="3" fillId="0" borderId="5" xfId="1" applyNumberFormat="1" applyFont="1" applyBorder="1" applyAlignment="1">
      <alignment horizontal="right"/>
    </xf>
    <xf numFmtId="2" fontId="3" fillId="0" borderId="0" xfId="1" applyNumberFormat="1" applyFont="1" applyBorder="1" applyAlignment="1">
      <alignment horizontal="right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2" fontId="3" fillId="2" borderId="2" xfId="0" applyNumberFormat="1" applyFont="1" applyFill="1" applyBorder="1" applyAlignment="1">
      <alignment horizontal="right"/>
    </xf>
    <xf numFmtId="4" fontId="3" fillId="2" borderId="1" xfId="0" applyNumberFormat="1" applyFont="1" applyFill="1" applyBorder="1"/>
    <xf numFmtId="4" fontId="3" fillId="0" borderId="1" xfId="0" applyNumberFormat="1" applyFont="1" applyBorder="1"/>
    <xf numFmtId="4" fontId="3" fillId="2" borderId="3" xfId="0" applyNumberFormat="1" applyFont="1" applyFill="1" applyBorder="1"/>
    <xf numFmtId="4" fontId="3" fillId="2" borderId="4" xfId="0" applyNumberFormat="1" applyFont="1" applyFill="1" applyBorder="1"/>
    <xf numFmtId="2" fontId="3" fillId="2" borderId="4" xfId="0" applyNumberFormat="1" applyFont="1" applyFill="1" applyBorder="1" applyAlignment="1">
      <alignment horizontal="right"/>
    </xf>
    <xf numFmtId="4" fontId="3" fillId="0" borderId="3" xfId="0" applyNumberFormat="1" applyFont="1" applyBorder="1"/>
    <xf numFmtId="4" fontId="3" fillId="0" borderId="4" xfId="0" applyNumberFormat="1" applyFont="1" applyBorder="1"/>
    <xf numFmtId="2" fontId="3" fillId="0" borderId="4" xfId="0" applyNumberFormat="1" applyFont="1" applyBorder="1" applyAlignment="1">
      <alignment horizontal="right"/>
    </xf>
    <xf numFmtId="2" fontId="3" fillId="0" borderId="6" xfId="0" applyNumberFormat="1" applyFont="1" applyBorder="1"/>
    <xf numFmtId="2" fontId="3" fillId="0" borderId="5" xfId="0" applyNumberFormat="1" applyFont="1" applyBorder="1" applyAlignment="1">
      <alignment horizontal="center"/>
    </xf>
    <xf numFmtId="11" fontId="0" fillId="0" borderId="0" xfId="0" applyNumberFormat="1"/>
    <xf numFmtId="49" fontId="0" fillId="0" borderId="0" xfId="0" applyNumberFormat="1"/>
    <xf numFmtId="11" fontId="6" fillId="0" borderId="0" xfId="0" applyNumberFormat="1" applyFont="1"/>
    <xf numFmtId="2" fontId="7" fillId="0" borderId="0" xfId="0" applyNumberFormat="1" applyFont="1"/>
    <xf numFmtId="165" fontId="3" fillId="0" borderId="5" xfId="0" applyNumberFormat="1" applyFont="1" applyBorder="1" applyAlignment="1">
      <alignment horizontal="right"/>
    </xf>
    <xf numFmtId="2" fontId="3" fillId="2" borderId="7" xfId="0" applyNumberFormat="1" applyFont="1" applyFill="1" applyBorder="1" applyAlignment="1">
      <alignment horizontal="right"/>
    </xf>
    <xf numFmtId="2" fontId="0" fillId="0" borderId="7" xfId="0" applyNumberFormat="1" applyBorder="1" applyAlignment="1">
      <alignment horizontal="right"/>
    </xf>
    <xf numFmtId="165" fontId="3" fillId="2" borderId="7" xfId="0" applyNumberFormat="1" applyFont="1" applyFill="1" applyBorder="1" applyAlignment="1">
      <alignment horizontal="right"/>
    </xf>
    <xf numFmtId="4" fontId="3" fillId="2" borderId="7" xfId="0" applyNumberFormat="1" applyFont="1" applyFill="1" applyBorder="1"/>
    <xf numFmtId="49" fontId="0" fillId="4" borderId="0" xfId="0" applyNumberFormat="1" applyFill="1"/>
    <xf numFmtId="11" fontId="3" fillId="0" borderId="5" xfId="0" applyNumberFormat="1" applyFont="1" applyBorder="1" applyAlignment="1">
      <alignment horizontal="right"/>
    </xf>
    <xf numFmtId="2" fontId="0" fillId="0" borderId="5" xfId="0" applyNumberFormat="1" applyBorder="1"/>
    <xf numFmtId="11" fontId="3" fillId="0" borderId="0" xfId="0" applyNumberFormat="1" applyFont="1"/>
    <xf numFmtId="0" fontId="4" fillId="5" borderId="8" xfId="0" applyFont="1" applyFill="1" applyBorder="1" applyAlignment="1">
      <alignment horizontal="center" vertical="top"/>
    </xf>
    <xf numFmtId="2" fontId="10" fillId="0" borderId="0" xfId="0" applyNumberFormat="1" applyFont="1" applyAlignment="1">
      <alignment horizontal="right"/>
    </xf>
    <xf numFmtId="0" fontId="11" fillId="0" borderId="0" xfId="0" applyFo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" borderId="0" xfId="0" applyFill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0" fillId="37" borderId="0" xfId="0" applyFill="1"/>
    <xf numFmtId="0" fontId="0" fillId="37" borderId="5" xfId="0" applyFill="1" applyBorder="1"/>
    <xf numFmtId="0" fontId="0" fillId="37" borderId="6" xfId="0" applyFill="1" applyBorder="1"/>
    <xf numFmtId="49" fontId="0" fillId="37" borderId="6" xfId="1" quotePrefix="1" applyNumberFormat="1" applyFont="1" applyFill="1" applyBorder="1" applyAlignment="1">
      <alignment horizontal="right" vertical="center"/>
    </xf>
    <xf numFmtId="49" fontId="0" fillId="37" borderId="5" xfId="1" quotePrefix="1" applyNumberFormat="1" applyFont="1" applyFill="1" applyBorder="1" applyAlignment="1">
      <alignment horizontal="right" vertical="center"/>
    </xf>
    <xf numFmtId="0" fontId="4" fillId="0" borderId="8" xfId="0" applyFont="1" applyBorder="1"/>
    <xf numFmtId="0" fontId="4" fillId="0" borderId="36" xfId="0" applyFont="1" applyBorder="1"/>
    <xf numFmtId="0" fontId="4" fillId="0" borderId="34" xfId="0" applyFont="1" applyBorder="1"/>
    <xf numFmtId="9" fontId="0" fillId="37" borderId="6" xfId="1" applyFont="1" applyFill="1" applyBorder="1"/>
    <xf numFmtId="9" fontId="0" fillId="37" borderId="0" xfId="1" applyFont="1" applyFill="1" applyBorder="1"/>
    <xf numFmtId="9" fontId="0" fillId="37" borderId="31" xfId="1" applyFont="1" applyFill="1" applyBorder="1"/>
    <xf numFmtId="9" fontId="0" fillId="37" borderId="29" xfId="1" applyFont="1" applyFill="1" applyBorder="1"/>
    <xf numFmtId="0" fontId="0" fillId="37" borderId="29" xfId="0" applyFill="1" applyBorder="1"/>
    <xf numFmtId="9" fontId="0" fillId="37" borderId="32" xfId="1" applyFont="1" applyFill="1" applyBorder="1"/>
    <xf numFmtId="9" fontId="0" fillId="37" borderId="34" xfId="1" applyFont="1" applyFill="1" applyBorder="1"/>
    <xf numFmtId="9" fontId="0" fillId="37" borderId="33" xfId="1" applyFont="1" applyFill="1" applyBorder="1"/>
    <xf numFmtId="9" fontId="0" fillId="37" borderId="35" xfId="1" applyFont="1" applyFill="1" applyBorder="1"/>
    <xf numFmtId="0" fontId="4" fillId="37" borderId="31" xfId="0" applyFont="1" applyFill="1" applyBorder="1"/>
    <xf numFmtId="0" fontId="4" fillId="37" borderId="30" xfId="0" applyFont="1" applyFill="1" applyBorder="1"/>
    <xf numFmtId="0" fontId="4" fillId="37" borderId="29" xfId="0" applyFont="1" applyFill="1" applyBorder="1"/>
    <xf numFmtId="2" fontId="0" fillId="38" borderId="19" xfId="0" applyNumberFormat="1" applyFill="1" applyBorder="1"/>
    <xf numFmtId="2" fontId="0" fillId="38" borderId="0" xfId="0" applyNumberFormat="1" applyFill="1"/>
    <xf numFmtId="0" fontId="0" fillId="38" borderId="0" xfId="0" applyFill="1"/>
    <xf numFmtId="0" fontId="0" fillId="4" borderId="0" xfId="0" applyFill="1"/>
    <xf numFmtId="11" fontId="0" fillId="4" borderId="0" xfId="0" applyNumberFormat="1" applyFill="1"/>
    <xf numFmtId="0" fontId="0" fillId="39" borderId="0" xfId="0" applyFill="1"/>
    <xf numFmtId="4" fontId="10" fillId="0" borderId="0" xfId="0" applyNumberFormat="1" applyFont="1"/>
    <xf numFmtId="4" fontId="3" fillId="0" borderId="18" xfId="0" applyNumberFormat="1" applyFont="1" applyBorder="1"/>
    <xf numFmtId="4" fontId="3" fillId="0" borderId="19" xfId="0" applyNumberFormat="1" applyFont="1" applyBorder="1"/>
    <xf numFmtId="164" fontId="3" fillId="0" borderId="19" xfId="0" applyNumberFormat="1" applyFont="1" applyBorder="1" applyAlignment="1">
      <alignment horizontal="right"/>
    </xf>
    <xf numFmtId="1" fontId="3" fillId="0" borderId="20" xfId="0" applyNumberFormat="1" applyFont="1" applyBorder="1" applyAlignment="1">
      <alignment horizontal="right"/>
    </xf>
    <xf numFmtId="4" fontId="3" fillId="0" borderId="38" xfId="0" applyNumberFormat="1" applyFont="1" applyBorder="1"/>
    <xf numFmtId="11" fontId="7" fillId="3" borderId="0" xfId="0" applyNumberFormat="1" applyFont="1" applyFill="1" applyAlignment="1">
      <alignment horizontal="right"/>
    </xf>
    <xf numFmtId="4" fontId="3" fillId="3" borderId="0" xfId="0" applyNumberFormat="1" applyFont="1" applyFill="1"/>
    <xf numFmtId="11" fontId="3" fillId="3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165" fontId="3" fillId="3" borderId="0" xfId="0" applyNumberFormat="1" applyFont="1" applyFill="1" applyAlignment="1">
      <alignment horizontal="right"/>
    </xf>
    <xf numFmtId="1" fontId="3" fillId="0" borderId="0" xfId="0" applyNumberFormat="1" applyFont="1" applyAlignment="1">
      <alignment horizontal="right"/>
    </xf>
    <xf numFmtId="1" fontId="3" fillId="3" borderId="0" xfId="0" applyNumberFormat="1" applyFont="1" applyFill="1" applyAlignment="1">
      <alignment horizontal="right"/>
    </xf>
    <xf numFmtId="11" fontId="3" fillId="0" borderId="0" xfId="0" applyNumberFormat="1" applyFont="1" applyAlignment="1">
      <alignment horizontal="center"/>
    </xf>
    <xf numFmtId="4" fontId="7" fillId="0" borderId="0" xfId="0" applyNumberFormat="1" applyFont="1"/>
    <xf numFmtId="2" fontId="7" fillId="0" borderId="0" xfId="0" applyNumberFormat="1" applyFont="1" applyAlignment="1">
      <alignment horizontal="right"/>
    </xf>
    <xf numFmtId="11" fontId="7" fillId="0" borderId="0" xfId="0" applyNumberFormat="1" applyFont="1" applyAlignment="1">
      <alignment horizontal="right"/>
    </xf>
    <xf numFmtId="0" fontId="23" fillId="40" borderId="1" xfId="0" applyFont="1" applyFill="1" applyBorder="1"/>
    <xf numFmtId="0" fontId="23" fillId="40" borderId="2" xfId="0" applyFont="1" applyFill="1" applyBorder="1"/>
    <xf numFmtId="0" fontId="23" fillId="40" borderId="2" xfId="0" applyFont="1" applyFill="1" applyBorder="1" applyAlignment="1">
      <alignment horizontal="left"/>
    </xf>
    <xf numFmtId="0" fontId="23" fillId="40" borderId="7" xfId="0" applyFont="1" applyFill="1" applyBorder="1"/>
    <xf numFmtId="4" fontId="3" fillId="0" borderId="39" xfId="0" applyNumberFormat="1" applyFont="1" applyBorder="1"/>
    <xf numFmtId="4" fontId="3" fillId="0" borderId="40" xfId="0" applyNumberFormat="1" applyFont="1" applyBorder="1"/>
    <xf numFmtId="2" fontId="3" fillId="0" borderId="19" xfId="0" applyNumberFormat="1" applyFont="1" applyBorder="1" applyAlignment="1">
      <alignment horizontal="right"/>
    </xf>
    <xf numFmtId="4" fontId="0" fillId="0" borderId="21" xfId="0" applyNumberFormat="1" applyBorder="1"/>
    <xf numFmtId="0" fontId="0" fillId="39" borderId="19" xfId="0" applyFill="1" applyBorder="1"/>
    <xf numFmtId="4" fontId="3" fillId="39" borderId="19" xfId="0" applyNumberFormat="1" applyFont="1" applyFill="1" applyBorder="1"/>
    <xf numFmtId="0" fontId="0" fillId="39" borderId="24" xfId="0" applyFill="1" applyBorder="1"/>
    <xf numFmtId="0" fontId="0" fillId="38" borderId="19" xfId="0" applyFill="1" applyBorder="1"/>
    <xf numFmtId="164" fontId="0" fillId="38" borderId="0" xfId="0" applyNumberFormat="1" applyFill="1"/>
    <xf numFmtId="164" fontId="0" fillId="4" borderId="0" xfId="0" applyNumberFormat="1" applyFill="1"/>
    <xf numFmtId="164" fontId="0" fillId="38" borderId="19" xfId="0" applyNumberFormat="1" applyFill="1" applyBorder="1"/>
    <xf numFmtId="166" fontId="0" fillId="38" borderId="0" xfId="0" applyNumberFormat="1" applyFill="1"/>
    <xf numFmtId="0" fontId="0" fillId="4" borderId="19" xfId="0" applyFill="1" applyBorder="1"/>
    <xf numFmtId="0" fontId="0" fillId="4" borderId="24" xfId="0" applyFill="1" applyBorder="1"/>
    <xf numFmtId="0" fontId="0" fillId="41" borderId="21" xfId="0" applyFill="1" applyBorder="1"/>
    <xf numFmtId="0" fontId="0" fillId="41" borderId="19" xfId="0" applyFill="1" applyBorder="1"/>
    <xf numFmtId="4" fontId="3" fillId="41" borderId="19" xfId="0" applyNumberFormat="1" applyFont="1" applyFill="1" applyBorder="1"/>
    <xf numFmtId="2" fontId="3" fillId="41" borderId="19" xfId="0" applyNumberFormat="1" applyFont="1" applyFill="1" applyBorder="1" applyAlignment="1">
      <alignment horizontal="right"/>
    </xf>
    <xf numFmtId="0" fontId="0" fillId="41" borderId="0" xfId="0" applyFill="1"/>
    <xf numFmtId="0" fontId="0" fillId="41" borderId="24" xfId="0" applyFill="1" applyBorder="1"/>
    <xf numFmtId="0" fontId="0" fillId="42" borderId="19" xfId="0" applyFill="1" applyBorder="1"/>
    <xf numFmtId="4" fontId="3" fillId="42" borderId="19" xfId="0" applyNumberFormat="1" applyFont="1" applyFill="1" applyBorder="1"/>
    <xf numFmtId="0" fontId="0" fillId="42" borderId="0" xfId="0" applyFill="1"/>
    <xf numFmtId="0" fontId="0" fillId="42" borderId="24" xfId="0" applyFill="1" applyBorder="1"/>
    <xf numFmtId="4" fontId="10" fillId="0" borderId="2" xfId="0" applyNumberFormat="1" applyFont="1" applyBorder="1"/>
    <xf numFmtId="2" fontId="10" fillId="0" borderId="0" xfId="0" applyNumberFormat="1" applyFont="1" applyAlignment="1">
      <alignment horizontal="center"/>
    </xf>
    <xf numFmtId="2" fontId="10" fillId="3" borderId="0" xfId="0" applyNumberFormat="1" applyFont="1" applyFill="1" applyAlignment="1">
      <alignment horizontal="right"/>
    </xf>
    <xf numFmtId="2" fontId="3" fillId="3" borderId="0" xfId="0" applyNumberFormat="1" applyFont="1" applyFill="1" applyAlignment="1">
      <alignment horizontal="right"/>
    </xf>
    <xf numFmtId="4" fontId="3" fillId="0" borderId="41" xfId="0" applyNumberFormat="1" applyFont="1" applyBorder="1"/>
    <xf numFmtId="4" fontId="3" fillId="0" borderId="42" xfId="0" applyNumberFormat="1" applyFont="1" applyBorder="1"/>
    <xf numFmtId="2" fontId="10" fillId="0" borderId="0" xfId="0" applyNumberFormat="1" applyFont="1"/>
    <xf numFmtId="1" fontId="7" fillId="0" borderId="0" xfId="0" applyNumberFormat="1" applyFont="1" applyAlignment="1">
      <alignment horizontal="right"/>
    </xf>
    <xf numFmtId="4" fontId="3" fillId="2" borderId="43" xfId="0" applyNumberFormat="1" applyFont="1" applyFill="1" applyBorder="1"/>
    <xf numFmtId="4" fontId="3" fillId="0" borderId="43" xfId="0" applyNumberFormat="1" applyFont="1" applyBorder="1"/>
    <xf numFmtId="4" fontId="3" fillId="0" borderId="44" xfId="0" applyNumberFormat="1" applyFont="1" applyBorder="1"/>
    <xf numFmtId="0" fontId="23" fillId="40" borderId="4" xfId="0" applyFont="1" applyFill="1" applyBorder="1" applyAlignment="1">
      <alignment horizontal="left"/>
    </xf>
    <xf numFmtId="0" fontId="4" fillId="0" borderId="20" xfId="0" applyFont="1" applyBorder="1"/>
    <xf numFmtId="2" fontId="0" fillId="4" borderId="0" xfId="0" applyNumberFormat="1" applyFill="1"/>
    <xf numFmtId="11" fontId="0" fillId="3" borderId="0" xfId="0" applyNumberFormat="1" applyFill="1"/>
    <xf numFmtId="0" fontId="23" fillId="40" borderId="4" xfId="0" applyFont="1" applyFill="1" applyBorder="1"/>
    <xf numFmtId="0" fontId="4" fillId="37" borderId="34" xfId="0" applyFont="1" applyFill="1" applyBorder="1" applyAlignment="1">
      <alignment horizontal="center" vertical="center"/>
    </xf>
    <xf numFmtId="0" fontId="4" fillId="37" borderId="35" xfId="0" applyFont="1" applyFill="1" applyBorder="1" applyAlignment="1">
      <alignment horizontal="center" vertical="center"/>
    </xf>
    <xf numFmtId="0" fontId="4" fillId="37" borderId="37" xfId="0" applyFont="1" applyFill="1" applyBorder="1" applyAlignment="1">
      <alignment horizontal="center" vertical="center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2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3" xr:uid="{2D580EB2-9544-4C30-9C88-82DFA519CA0F}"/>
    <cellStyle name="Note" xfId="18" builtinId="10" customBuiltin="1"/>
    <cellStyle name="Output" xfId="13" builtinId="21" customBuiltin="1"/>
    <cellStyle name="Percent" xfId="1" builtinId="5"/>
    <cellStyle name="Title" xfId="4" builtinId="15" customBuiltin="1"/>
    <cellStyle name="Total" xfId="20" builtinId="25" customBuiltin="1"/>
    <cellStyle name="Warning Text" xfId="17" builtinId="11" customBuiltin="1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188876</xdr:colOff>
      <xdr:row>24</xdr:row>
      <xdr:rowOff>113733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CF6F79-FA15-4EC0-A38B-17061BBA6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2376" cy="44680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iasahub.sharepoint.com/zhouwenji/Technologies/Technologies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or%20MESSAGE\IESS_Version2.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4"/>
      <sheetName val="Sheet2"/>
      <sheetName val="Sheet1"/>
      <sheetName val="Sheet3"/>
      <sheetName val="Sheet5"/>
    </sheetNames>
    <sheetDataSet>
      <sheetData sheetId="0"/>
      <sheetData sheetId="1">
        <row r="2">
          <cell r="A2" t="str">
            <v>Yes</v>
          </cell>
        </row>
        <row r="6">
          <cell r="A6" t="str">
            <v>Primary</v>
          </cell>
        </row>
        <row r="7">
          <cell r="A7" t="str">
            <v>Secondary</v>
          </cell>
        </row>
        <row r="8">
          <cell r="A8" t="str">
            <v xml:space="preserve">Final </v>
          </cell>
        </row>
        <row r="9">
          <cell r="A9" t="str">
            <v>Useful</v>
          </cell>
        </row>
        <row r="10">
          <cell r="A10" t="str">
            <v>Exports</v>
          </cell>
        </row>
        <row r="11">
          <cell r="A11" t="str">
            <v>Imports</v>
          </cell>
        </row>
        <row r="12">
          <cell r="A12" t="str">
            <v>Dummy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b"/>
      <sheetName val="VII.a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5">
          <cell r="F55">
            <v>1</v>
          </cell>
        </row>
      </sheetData>
      <sheetData sheetId="57"/>
      <sheetData sheetId="58"/>
      <sheetData sheetId="59"/>
      <sheetData sheetId="60"/>
      <sheetData sheetId="6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orenzo Usai" id="{69536558-3815-4EC5-80BA-AB90345393D6}" userId="S::lorenzou@ntnu.no::c3e0c9e6-3573-4a34-a541-691680e4317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147A39-A13D-4C4E-8BB4-7F5682C4E86F}" name="Table335" displayName="Table335" ref="A1:J185" totalsRowShown="0" dataDxfId="38">
  <autoFilter ref="A1:J185" xr:uid="{00000000-0009-0000-0100-000002000000}"/>
  <tableColumns count="10">
    <tableColumn id="1" xr3:uid="{1E0BF147-C9CE-4BFC-A048-F7CD493213D9}" name="Technology" dataDxfId="37" totalsRowDxfId="36"/>
    <tableColumn id="2" xr3:uid="{86E3CE9D-5373-4C35-86FA-E40953DE80AD}" name="Parameter" dataDxfId="35" totalsRowDxfId="34"/>
    <tableColumn id="3" xr3:uid="{B6437CF5-3F2C-4D3B-B633-5A5968DD4169}" name="Region" dataDxfId="33" totalsRowDxfId="32"/>
    <tableColumn id="4" xr3:uid="{F074D1D1-E4C1-4959-97E1-7C615C36B49E}" name="Level" dataDxfId="31" totalsRowDxfId="30"/>
    <tableColumn id="5" xr3:uid="{723FF707-8BD0-466C-839E-AFD4133591A1}" name="Commodity" dataDxfId="29" totalsRowDxfId="28"/>
    <tableColumn id="29" xr3:uid="{873039BD-B8A3-4067-B554-B3E74F0109EE}" name="Species" dataDxfId="27" totalsRowDxfId="26"/>
    <tableColumn id="27" xr3:uid="{DA410E80-7787-48E6-A348-115A6AF07EED}" name="Mode" dataDxfId="25" totalsRowDxfId="24"/>
    <tableColumn id="6" xr3:uid="{65236B64-049C-4FAD-81DF-E3FF85397614}" name="Units" dataDxfId="23" totalsRowDxfId="22"/>
    <tableColumn id="11" xr3:uid="{EDA3C3C2-60EB-4D86-BD7D-7460BD38E3F6}" name="Value" dataDxfId="21"/>
    <tableColumn id="26" xr3:uid="{7B0739DA-4DF1-4082-AD80-19087580F904}" name="Comment" dataDxfId="20" totalsRow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FDF1E9-FD6E-4B55-9DF9-CD50A238B910}" name="Table33523" displayName="Table33523" ref="A1:I329" totalsRowShown="0" dataDxfId="18">
  <autoFilter ref="A1:I329" xr:uid="{00000000-0009-0000-0100-000002000000}"/>
  <tableColumns count="9">
    <tableColumn id="3" xr3:uid="{071A1BD3-48A7-4041-B6A1-825CCAA82852}" name="Region" dataDxfId="17" totalsRowDxfId="16"/>
    <tableColumn id="1" xr3:uid="{6C0AA647-D2F5-4B38-BA7C-27347EB64858}" name="technology" dataDxfId="15" totalsRowDxfId="14"/>
    <tableColumn id="2" xr3:uid="{645A8CE9-76C9-4D81-91AF-A0DEAFEB7885}" name="parameter" dataDxfId="13" totalsRowDxfId="12"/>
    <tableColumn id="27" xr3:uid="{8FB76941-8EC4-4738-86E0-89311BC2F27A}" name="Mode" dataDxfId="11" totalsRowDxfId="10"/>
    <tableColumn id="6" xr3:uid="{4BDCE45C-47C6-4435-85C0-94D914ADC57F}" name="Units" dataDxfId="9" totalsRowDxfId="8"/>
    <tableColumn id="11" xr3:uid="{435FFBB0-9CD3-43B5-BEB7-966A03816971}" name="value" dataDxfId="7" totalsRowDxfId="6"/>
    <tableColumn id="4" xr3:uid="{6D199E7B-6633-4046-A67C-CECAA1CAC88E}" name="availability" dataDxfId="5" totalsRowDxfId="4"/>
    <tableColumn id="26" xr3:uid="{150FF252-79A1-44AD-9380-AACC4380BD52}" name="Comment" dataDxfId="3" totalsRowDxfId="2"/>
    <tableColumn id="5" xr3:uid="{42567F21-56C8-4A8D-ACD8-3B8B248A3E06}" name="Column1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2-05-16T08:40:16.11" personId="{69536558-3815-4EC5-80BA-AB90345393D6}" id="{8718BFF2-5D26-4A85-B3BC-702D2931D253}">
    <text>Is this a thing?</text>
  </threadedComment>
  <threadedComment ref="E3" dT="2022-08-05T09:12:04.36" personId="{69536558-3815-4EC5-80BA-AB90345393D6}" id="{5579E82A-5AB2-4FD5-964D-905D952F835B}">
    <text>Should be hard_coal</text>
  </threadedComment>
  <threadedComment ref="H3" dT="2022-05-16T08:40:16.11" personId="{69536558-3815-4EC5-80BA-AB90345393D6}" id="{7D307892-A309-470A-BA4F-9314D14472AB}">
    <text>Is this a thing?</text>
  </threadedComment>
  <threadedComment ref="H4" dT="2022-05-16T08:40:16.11" personId="{69536558-3815-4EC5-80BA-AB90345393D6}" id="{518A0915-09E1-47A3-9CD1-787E202A08D9}">
    <text>Is this a thing?</text>
  </threadedComment>
  <threadedComment ref="H5" dT="2022-05-16T08:40:16.11" personId="{69536558-3815-4EC5-80BA-AB90345393D6}" id="{4921C739-21CC-4ED1-AC8A-5924B20C3706}">
    <text>Is this a thing?</text>
  </threadedComment>
  <threadedComment ref="E7" dT="2022-05-16T08:40:29.25" personId="{69536558-3815-4EC5-80BA-AB90345393D6}" id="{F8280148-BAE3-4759-9016-A789E3EFD0BD}">
    <text>does this exist?</text>
  </threadedComment>
  <threadedComment ref="H7" dT="2022-05-16T09:11:29.00" personId="{69536558-3815-4EC5-80BA-AB90345393D6}" id="{093D51DA-DA63-4B63-A6A6-96702CF42652}">
    <text>Is this unit okay?</text>
  </threadedComment>
  <threadedComment ref="H8" dT="2022-05-16T08:40:16.11" personId="{69536558-3815-4EC5-80BA-AB90345393D6}" id="{71ADB41E-7535-494C-8664-5F8397CD950E}">
    <text>Is this a thing?</text>
  </threadedComment>
  <threadedComment ref="H9" dT="2022-05-16T08:40:16.11" personId="{69536558-3815-4EC5-80BA-AB90345393D6}" id="{D54C9511-571E-4B4E-8C7A-BB66409D6F58}">
    <text>Is this a thing?</text>
  </threadedComment>
  <threadedComment ref="F10" dT="2022-05-20T10:53:19.83" personId="{69536558-3815-4EC5-80BA-AB90345393D6}" id="{8FE18ADA-40F0-45ED-9322-633221706353}">
    <text>Correct this</text>
  </threadedComment>
  <threadedComment ref="H10" dT="2022-05-16T08:40:16.11" personId="{69536558-3815-4EC5-80BA-AB90345393D6}" id="{1A02F3D4-5F9F-413E-9ADD-3D8AFB6B51E8}">
    <text>Is this a thing?</text>
  </threadedComment>
  <threadedComment ref="F11" dT="2022-05-20T10:53:29.06" personId="{69536558-3815-4EC5-80BA-AB90345393D6}" id="{98F5D544-7031-4A19-BF29-0703A14ED872}">
    <text>Correct this.</text>
  </threadedComment>
  <threadedComment ref="H11" dT="2022-05-16T08:40:16.11" personId="{69536558-3815-4EC5-80BA-AB90345393D6}" id="{A491F601-0A78-4D5C-B3D9-0476E301B686}">
    <text>Is this a thing?</text>
  </threadedComment>
  <threadedComment ref="H17" dT="2022-05-16T08:40:16.11" personId="{69536558-3815-4EC5-80BA-AB90345393D6}" id="{BBAB6D6E-44A2-4BF2-9E29-0E74906CD331}">
    <text>Is this a thing?</text>
  </threadedComment>
  <threadedComment ref="H18" dT="2022-05-16T08:40:16.11" personId="{69536558-3815-4EC5-80BA-AB90345393D6}" id="{9AF8BA0D-9D8B-40F1-8144-A1E3DF668978}">
    <text>Is this a thing?</text>
  </threadedComment>
  <threadedComment ref="H19" dT="2022-05-16T08:40:16.11" personId="{69536558-3815-4EC5-80BA-AB90345393D6}" id="{ADE66E77-856A-490A-AF7C-953A374E2A97}">
    <text>Is this a thing?</text>
  </threadedComment>
  <threadedComment ref="E22" dT="2022-05-16T09:23:00.44" personId="{69536558-3815-4EC5-80BA-AB90345393D6}" id="{FCBCEF13-B511-4D3C-94D8-00383251D993}">
    <text>For furnace</text>
  </threadedComment>
  <threadedComment ref="H24" dT="2022-05-16T08:40:16.11" personId="{69536558-3815-4EC5-80BA-AB90345393D6}" id="{4B613EE1-A27C-4481-B377-178C6EF988FE}">
    <text>Is this a thing?</text>
  </threadedComment>
  <threadedComment ref="H25" dT="2022-05-16T08:40:16.11" personId="{69536558-3815-4EC5-80BA-AB90345393D6}" id="{14D9A34F-BABB-40D5-8C41-CFE494EFAA6F}">
    <text>Is this a thing?</text>
  </threadedComment>
  <threadedComment ref="H26" dT="2022-05-16T08:40:16.11" personId="{69536558-3815-4EC5-80BA-AB90345393D6}" id="{BDE67035-3E28-427C-A967-731EB7602A85}">
    <text>Is this a thing?</text>
  </threadedComment>
  <threadedComment ref="H27" dT="2022-05-16T08:40:16.11" personId="{69536558-3815-4EC5-80BA-AB90345393D6}" id="{FB2018C9-7C87-4A93-BFA0-D97431E264BE}">
    <text>Is this a thing?</text>
  </threadedComment>
  <threadedComment ref="H28" dT="2022-05-16T08:40:16.11" personId="{69536558-3815-4EC5-80BA-AB90345393D6}" id="{CA437B32-3D9F-492C-BBD9-D4A00F576C0E}">
    <text>Is this a thing?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3" dT="2023-09-19T14:32:15.78" personId="{69536558-3815-4EC5-80BA-AB90345393D6}" id="{95716A64-DDF9-4F9D-A95D-73D0266E165B}">
    <text xml:space="preserve">Li extracted from USGS, then multiplied by numbers in graphite_format
</text>
  </threadedComment>
  <threadedComment ref="F11" dT="2023-09-19T14:32:15.78" personId="{69536558-3815-4EC5-80BA-AB90345393D6}" id="{3D945B99-DFB6-4ECF-8D0E-59BD2323FBFA}">
    <text xml:space="preserve">Li extracted from USGS, then multiplied by numbers in graphite_format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6" dT="2022-09-27T15:17:41.47" personId="{69536558-3815-4EC5-80BA-AB90345393D6}" id="{F9CD0EBD-A8C9-42B2-80AA-76E2E0AC4A90}">
    <text>Coal tar pitch price (700 MUSD/Mt)</text>
  </threadedComment>
  <threadedComment ref="A6" dT="2022-09-27T15:18:05.27" personId="{69536558-3815-4EC5-80BA-AB90345393D6}" id="{95C5ED92-A3EF-4579-9AF2-1600BFE9659F}" parentId="{F9CD0EBD-A8C9-42B2-80AA-76E2E0AC4A90}">
    <text>Source: Sustainable coal tar pitch carbon fiber manufacturing</text>
  </threadedComment>
  <threadedComment ref="A8" dT="2022-09-28T14:50:54.04" personId="{69536558-3815-4EC5-80BA-AB90345393D6}" id="{FE0DC2C9-6A9B-465B-90A2-41ACA1A87AEC}">
    <text>http://www.researchinchina.com/UpLoads/ArticleFreePartPath/20180330183236.pdf</text>
  </threadedComment>
  <threadedComment ref="A9" dT="2022-09-27T15:17:41.47" personId="{69536558-3815-4EC5-80BA-AB90345393D6}" id="{ECFE27D5-5603-464E-AD87-695D9B3EB7F5}">
    <text>Coal tar pitch price (700 MUSD/Mt)</text>
  </threadedComment>
  <threadedComment ref="A9" dT="2022-09-27T15:18:05.27" personId="{69536558-3815-4EC5-80BA-AB90345393D6}" id="{9D548ECD-37DE-4F0C-9B3D-7AECE39F5C99}" parentId="{ECFE27D5-5603-464E-AD87-695D9B3EB7F5}">
    <text>Source: Sustainable coal tar pitch carbon fiber manufacturing</text>
  </threadedComment>
  <threadedComment ref="A11" dT="2022-09-28T14:50:49.79" personId="{69536558-3815-4EC5-80BA-AB90345393D6}" id="{ACD28102-8C19-49D2-8EE1-F8AFAA67C400}">
    <text>http://www.researchinchina.com/UpLoads/ArticleFreePartPath/20180330183236.pdf</text>
  </threadedComment>
  <threadedComment ref="B52" dT="2023-03-22T14:52:55.11" personId="{69536558-3815-4EC5-80BA-AB90345393D6}" id="{9B7A17A3-9CEF-4A1C-92A1-A90D38B00557}">
    <text>This is mainly relevant for Li and Co, according to source:</text>
  </threadedComment>
  <threadedComment ref="B52" dT="2023-03-22T14:53:27.11" personId="{69536558-3815-4EC5-80BA-AB90345393D6}" id="{AE8D8FF9-2593-40E6-8251-67E78E84D666}" parentId="{9B7A17A3-9CEF-4A1C-92A1-A90D38B00557}">
    <text>https://iea.blob.core.windows.net/assets/ffd2a83b-8c30-4e9d-980a-52b6d9a86fdc/TheRoleofCriticalMineralsinCleanEnergyTransitions.pdf</text>
    <extLst>
      <x:ext xmlns:xltc2="http://schemas.microsoft.com/office/spreadsheetml/2020/threadedcomments2" uri="{F7C98A9C-CBB3-438F-8F68-D28B6AF4A901}">
        <xltc2:checksum>597092490</xltc2:checksum>
        <xltc2:hyperlink startIndex="0" length="131" url="https://iea.blob.core.windows.net/assets/ffd2a83b-8c30-4e9d-980a-52b6d9a86fdc/TheRoleofCriticalMineralsinCleanEnergyTransitions.pdf"/>
      </x:ext>
    </extLst>
  </threadedComment>
  <threadedComment ref="A56" dT="2022-09-27T15:17:41.47" personId="{69536558-3815-4EC5-80BA-AB90345393D6}" id="{A076A122-3536-4A92-8839-0AF11C43F7ED}">
    <text>Coal tar pitch price (700 MUSD/Mt)</text>
  </threadedComment>
  <threadedComment ref="A56" dT="2022-09-27T15:18:05.27" personId="{69536558-3815-4EC5-80BA-AB90345393D6}" id="{F70CE54E-3575-4245-8151-1AD9D08BE3E3}" parentId="{A076A122-3536-4A92-8839-0AF11C43F7ED}">
    <text>Source: Sustainable coal tar pitch carbon fiber manufacturing</text>
  </threadedComment>
  <threadedComment ref="A58" dT="2022-09-28T14:50:54.04" personId="{69536558-3815-4EC5-80BA-AB90345393D6}" id="{5AC6E182-0CBB-4E9A-A6F6-717C413009AE}">
    <text>http://www.researchinchina.com/UpLoads/ArticleFreePartPath/20180330183236.pdf</text>
  </threadedComment>
  <threadedComment ref="A59" dT="2022-09-27T15:17:41.47" personId="{69536558-3815-4EC5-80BA-AB90345393D6}" id="{392468C8-193E-4C32-A747-31027F37E837}">
    <text>Coal tar pitch price (700 MUSD/Mt)</text>
  </threadedComment>
  <threadedComment ref="A59" dT="2022-09-27T15:18:05.27" personId="{69536558-3815-4EC5-80BA-AB90345393D6}" id="{2FCBC93E-DC79-4E78-B752-201A0613F662}" parentId="{392468C8-193E-4C32-A747-31027F37E837}">
    <text>Source: Sustainable coal tar pitch carbon fiber manufacturing</text>
  </threadedComment>
  <threadedComment ref="A61" dT="2022-09-28T14:50:49.79" personId="{69536558-3815-4EC5-80BA-AB90345393D6}" id="{530FEFD6-1C26-4A26-80E4-011C3679347A}">
    <text>http://www.researchinchina.com/UpLoads/ArticleFreePartPath/20180330183236.pdf</text>
  </threadedComment>
  <threadedComment ref="B102" dT="2023-03-22T14:55:32.62" personId="{69536558-3815-4EC5-80BA-AB90345393D6}" id="{5443EF48-8191-4F69-AC4D-77BB86F8A95F}">
    <text xml:space="preserve">This is relevant for Cobalt and graphite
</text>
  </threadedComment>
  <threadedComment ref="A106" dT="2022-09-27T15:17:41.47" personId="{69536558-3815-4EC5-80BA-AB90345393D6}" id="{5D55236E-1CF3-45E6-82BF-30498F05A202}">
    <text>Coal tar pitch price (700 MUSD/Mt)</text>
  </threadedComment>
  <threadedComment ref="A106" dT="2022-09-27T15:18:05.27" personId="{69536558-3815-4EC5-80BA-AB90345393D6}" id="{C439756F-F5F2-4734-B7DC-B76AE4E19CC7}" parentId="{5D55236E-1CF3-45E6-82BF-30498F05A202}">
    <text>Source: Sustainable coal tar pitch carbon fiber manufacturing</text>
  </threadedComment>
  <threadedComment ref="A108" dT="2022-09-28T14:50:54.04" personId="{69536558-3815-4EC5-80BA-AB90345393D6}" id="{79F47ADB-18FA-42C3-94BB-6CADB327478C}">
    <text>http://www.researchinchina.com/UpLoads/ArticleFreePartPath/20180330183236.pdf</text>
  </threadedComment>
  <threadedComment ref="A109" dT="2022-09-27T15:17:41.47" personId="{69536558-3815-4EC5-80BA-AB90345393D6}" id="{2782769C-964A-481E-A365-560CD4EAEC79}">
    <text>Coal tar pitch price (700 MUSD/Mt)</text>
  </threadedComment>
  <threadedComment ref="A109" dT="2022-09-27T15:18:05.27" personId="{69536558-3815-4EC5-80BA-AB90345393D6}" id="{3A9D77DA-4284-4EDD-871F-2E69EAB208AB}" parentId="{2782769C-964A-481E-A365-560CD4EAEC79}">
    <text>Source: Sustainable coal tar pitch carbon fiber manufacturing</text>
  </threadedComment>
  <threadedComment ref="A111" dT="2022-09-28T14:50:49.79" personId="{69536558-3815-4EC5-80BA-AB90345393D6}" id="{61EB22B1-76DC-4AF9-94C1-BB0F02AF0B1D}">
    <text>http://www.researchinchina.com/UpLoads/ArticleFreePartPath/20180330183236.pdf</text>
  </threadedComment>
  <threadedComment ref="A156" dT="2022-09-27T15:17:41.47" personId="{69536558-3815-4EC5-80BA-AB90345393D6}" id="{977B0AF7-0F02-47E3-A852-B89B26133402}">
    <text>Coal tar pitch price (700 MUSD/Mt)</text>
  </threadedComment>
  <threadedComment ref="A156" dT="2022-09-27T15:18:05.27" personId="{69536558-3815-4EC5-80BA-AB90345393D6}" id="{842E6522-1EC3-49A9-9707-11B253F757B5}" parentId="{977B0AF7-0F02-47E3-A852-B89B26133402}">
    <text>Source: Sustainable coal tar pitch carbon fiber manufacturing</text>
  </threadedComment>
  <threadedComment ref="A158" dT="2022-09-28T14:50:54.04" personId="{69536558-3815-4EC5-80BA-AB90345393D6}" id="{15853B3D-AF59-4915-9FA3-5717944D1D0A}">
    <text>http://www.researchinchina.com/UpLoads/ArticleFreePartPath/20180330183236.pdf</text>
  </threadedComment>
  <threadedComment ref="A159" dT="2022-09-27T15:17:41.47" personId="{69536558-3815-4EC5-80BA-AB90345393D6}" id="{828D1BA7-C2C1-419D-BA2E-C4E2972DF677}">
    <text>Coal tar pitch price (700 MUSD/Mt)</text>
  </threadedComment>
  <threadedComment ref="A159" dT="2022-09-27T15:18:05.27" personId="{69536558-3815-4EC5-80BA-AB90345393D6}" id="{3B1F7A04-739B-46C1-A5BB-D8F6EB26B208}" parentId="{828D1BA7-C2C1-419D-BA2E-C4E2972DF677}">
    <text>Source: Sustainable coal tar pitch carbon fiber manufacturing</text>
  </threadedComment>
  <threadedComment ref="A161" dT="2022-09-28T14:50:49.79" personId="{69536558-3815-4EC5-80BA-AB90345393D6}" id="{8BC84F89-46AC-45CA-A6C8-C2ABE794E113}">
    <text>http://www.researchinchina.com/UpLoads/ArticleFreePartPath/20180330183236.pdf</text>
  </threadedComment>
  <threadedComment ref="A206" dT="2022-09-27T15:17:41.47" personId="{69536558-3815-4EC5-80BA-AB90345393D6}" id="{EA5E3D74-8307-4F13-96E0-3E09B8AE3E21}">
    <text>Coal tar pitch price (700 MUSD/Mt)</text>
  </threadedComment>
  <threadedComment ref="A206" dT="2022-09-27T15:18:05.27" personId="{69536558-3815-4EC5-80BA-AB90345393D6}" id="{2959A2D3-A662-4078-8223-7E4D6970A7D0}" parentId="{EA5E3D74-8307-4F13-96E0-3E09B8AE3E21}">
    <text>Source: Sustainable coal tar pitch carbon fiber manufacturing</text>
  </threadedComment>
  <threadedComment ref="A208" dT="2022-09-28T14:50:54.04" personId="{69536558-3815-4EC5-80BA-AB90345393D6}" id="{A492A58C-E972-47C6-BF90-078D724AF112}">
    <text>http://www.researchinchina.com/UpLoads/ArticleFreePartPath/20180330183236.pdf</text>
  </threadedComment>
  <threadedComment ref="A209" dT="2022-09-27T15:17:41.47" personId="{69536558-3815-4EC5-80BA-AB90345393D6}" id="{545656D4-BCA6-4557-8B33-94C5D66342B6}">
    <text>Coal tar pitch price (700 MUSD/Mt)</text>
  </threadedComment>
  <threadedComment ref="A209" dT="2022-09-27T15:18:05.27" personId="{69536558-3815-4EC5-80BA-AB90345393D6}" id="{0E41200F-1D8F-49C2-B81A-BD9CB38FC75E}" parentId="{545656D4-BCA6-4557-8B33-94C5D66342B6}">
    <text>Source: Sustainable coal tar pitch carbon fiber manufacturing</text>
  </threadedComment>
  <threadedComment ref="A211" dT="2022-09-28T14:50:49.79" personId="{69536558-3815-4EC5-80BA-AB90345393D6}" id="{8BF24E1A-0C3D-4D08-9DF2-90ED045E1F9E}">
    <text>http://www.researchinchina.com/UpLoads/ArticleFreePartPath/20180330183236.pdf</text>
  </threadedComment>
  <threadedComment ref="A256" dT="2022-09-27T15:17:41.47" personId="{69536558-3815-4EC5-80BA-AB90345393D6}" id="{9E3AF914-1940-400E-BA1B-717A89E66997}">
    <text>Coal tar pitch price (700 MUSD/Mt)</text>
  </threadedComment>
  <threadedComment ref="A256" dT="2022-09-27T15:18:05.27" personId="{69536558-3815-4EC5-80BA-AB90345393D6}" id="{6205C3DD-78C1-4319-A98E-53D959FE2E77}" parentId="{9E3AF914-1940-400E-BA1B-717A89E66997}">
    <text>Source: Sustainable coal tar pitch carbon fiber manufacturing</text>
  </threadedComment>
  <threadedComment ref="A258" dT="2022-09-28T14:50:54.04" personId="{69536558-3815-4EC5-80BA-AB90345393D6}" id="{A0919A53-0BD6-4CEF-B381-6EECB5C343E0}">
    <text>http://www.researchinchina.com/UpLoads/ArticleFreePartPath/20180330183236.pdf</text>
  </threadedComment>
  <threadedComment ref="A259" dT="2022-09-27T15:17:41.47" personId="{69536558-3815-4EC5-80BA-AB90345393D6}" id="{AD918E0B-E092-48D8-BEBE-EA90E6D1B6D1}">
    <text>Coal tar pitch price (700 MUSD/Mt)</text>
  </threadedComment>
  <threadedComment ref="A259" dT="2022-09-27T15:18:05.27" personId="{69536558-3815-4EC5-80BA-AB90345393D6}" id="{8DE0530A-14F7-4421-9BF1-36A41C307F12}" parentId="{AD918E0B-E092-48D8-BEBE-EA90E6D1B6D1}">
    <text>Source: Sustainable coal tar pitch carbon fiber manufacturing</text>
  </threadedComment>
  <threadedComment ref="A261" dT="2022-09-28T14:50:49.79" personId="{69536558-3815-4EC5-80BA-AB90345393D6}" id="{FA675C3C-E131-4F33-82D6-CF5113F8CF01}">
    <text>http://www.researchinchina.com/UpLoads/ArticleFreePartPath/20180330183236.pdf</text>
  </threadedComment>
  <threadedComment ref="A330" dT="2022-09-27T15:17:41.47" personId="{69536558-3815-4EC5-80BA-AB90345393D6}" id="{BA06BE66-FD10-4E4C-8477-64E04DBE2FF5}">
    <text>Coal tar pitch price (700 MUSD/Mt)</text>
  </threadedComment>
  <threadedComment ref="A330" dT="2022-09-27T15:18:05.27" personId="{69536558-3815-4EC5-80BA-AB90345393D6}" id="{F39F94F4-E6EC-44B6-929A-46BE0B691509}" parentId="{BA06BE66-FD10-4E4C-8477-64E04DBE2FF5}">
    <text>Source: Sustainable coal tar pitch carbon fiber manufacturing</text>
  </threadedComment>
  <threadedComment ref="A332" dT="2022-09-28T14:50:54.04" personId="{69536558-3815-4EC5-80BA-AB90345393D6}" id="{FC88E2F8-7D9A-4E2B-9EC0-FE6F87A144B9}">
    <text>http://www.researchinchina.com/UpLoads/ArticleFreePartPath/20180330183236.pdf</text>
  </threadedComment>
  <threadedComment ref="A333" dT="2022-09-27T15:17:41.47" personId="{69536558-3815-4EC5-80BA-AB90345393D6}" id="{B67ED073-0BA6-42E2-89EA-F97F53D28E85}">
    <text>Coal tar pitch price (700 MUSD/Mt)</text>
  </threadedComment>
  <threadedComment ref="A333" dT="2022-09-27T15:18:05.27" personId="{69536558-3815-4EC5-80BA-AB90345393D6}" id="{86812AAA-F921-4D6B-A20D-DB8E227489A1}" parentId="{B67ED073-0BA6-42E2-89EA-F97F53D28E85}">
    <text>Source: Sustainable coal tar pitch carbon fiber manufacturing</text>
  </threadedComment>
  <threadedComment ref="A335" dT="2022-09-28T14:50:49.79" personId="{69536558-3815-4EC5-80BA-AB90345393D6}" id="{84610D87-1EC8-487A-B536-9BA2D98A4BD2}">
    <text>http://www.researchinchina.com/UpLoads/ArticleFreePartPath/20180330183236.pdf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6" dT="2022-09-27T15:17:41.47" personId="{69536558-3815-4EC5-80BA-AB90345393D6}" id="{4F80D0E6-6EF9-4D4A-9F48-9F4EC5A75860}">
    <text>Coal tar pitch price (700 MUSD/Mt)</text>
  </threadedComment>
  <threadedComment ref="A6" dT="2022-09-27T15:18:05.27" personId="{69536558-3815-4EC5-80BA-AB90345393D6}" id="{F7FDEF1B-B7F2-44F0-B5E2-691B64B4AED1}" parentId="{4F80D0E6-6EF9-4D4A-9F48-9F4EC5A75860}">
    <text>Source: Sustainable coal tar pitch carbon fiber manufacturing</text>
  </threadedComment>
  <threadedComment ref="A8" dT="2022-09-28T14:50:54.04" personId="{69536558-3815-4EC5-80BA-AB90345393D6}" id="{D5554553-B415-4E2A-BC29-20A3B0AC52AD}">
    <text>http://www.researchinchina.com/UpLoads/ArticleFreePartPath/20180330183236.pdf</text>
  </threadedComment>
  <threadedComment ref="A9" dT="2022-09-27T15:17:41.47" personId="{69536558-3815-4EC5-80BA-AB90345393D6}" id="{2D69A4B8-44E8-41C5-8B98-EFC4C9575768}">
    <text>Coal tar pitch price (700 MUSD/Mt)</text>
  </threadedComment>
  <threadedComment ref="A9" dT="2022-09-27T15:18:05.27" personId="{69536558-3815-4EC5-80BA-AB90345393D6}" id="{CBB54202-5026-4EA7-B69D-9F64FDFABDCE}" parentId="{2D69A4B8-44E8-41C5-8B98-EFC4C9575768}">
    <text>Source: Sustainable coal tar pitch carbon fiber manufacturing</text>
  </threadedComment>
  <threadedComment ref="A11" dT="2022-09-28T14:50:49.79" personId="{69536558-3815-4EC5-80BA-AB90345393D6}" id="{7F488F80-9DE5-4917-B166-B9B89A7A7033}">
    <text>http://www.researchinchina.com/UpLoads/ArticleFreePartPath/20180330183236.pdf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2-05-19T14:42:56.61" personId="{69536558-3815-4EC5-80BA-AB90345393D6}" id="{8159A5F6-4CB5-4835-8434-2F49FF7C96F3}">
    <text>Should this be historical activity only for Li-ion batteries?</text>
  </threadedComment>
  <threadedComment ref="L2" dT="2022-05-20T10:46:40.38" personId="{69536558-3815-4EC5-80BA-AB90345393D6}" id="{A6A7D84F-762A-45C9-8805-E85B85500ACA}">
    <text>Not critical to include historical activity earlier than 2015. 
Historical_new_cap is more important, you should build this from 1990, ideally.</text>
  </threadedComment>
  <threadedComment ref="A4" dT="2022-05-20T09:26:16.82" personId="{69536558-3815-4EC5-80BA-AB90345393D6}" id="{B95E72D0-BA7C-4BD8-9965-4A2CA67133A1}">
    <text>Only for batteries demand, I suppose?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6" dT="2022-09-27T15:17:41.47" personId="{69536558-3815-4EC5-80BA-AB90345393D6}" id="{DB14F7F5-0AF3-41E0-ADE2-2BD2B4BB65C3}">
    <text>Coal tar pitch price (700 MUSD/Mt)</text>
  </threadedComment>
  <threadedComment ref="A6" dT="2022-09-27T15:18:05.27" personId="{69536558-3815-4EC5-80BA-AB90345393D6}" id="{070E958F-AA55-4B88-8E69-BDB81B6E5AD5}" parentId="{DB14F7F5-0AF3-41E0-ADE2-2BD2B4BB65C3}">
    <text>Source: Sustainable coal tar pitch carbon fiber manufacturing</text>
  </threadedComment>
  <threadedComment ref="A8" dT="2022-09-28T14:50:54.04" personId="{69536558-3815-4EC5-80BA-AB90345393D6}" id="{4433BAD2-076F-44B6-B175-7284035A5032}">
    <text>http://www.researchinchina.com/UpLoads/ArticleFreePartPath/20180330183236.pdf</text>
  </threadedComment>
  <threadedComment ref="A9" dT="2022-09-27T15:17:41.47" personId="{69536558-3815-4EC5-80BA-AB90345393D6}" id="{9BF1C8F3-FAB8-4530-9767-ADE0A7CC13CF}">
    <text>Coal tar pitch price (700 MUSD/Mt)</text>
  </threadedComment>
  <threadedComment ref="A9" dT="2022-09-27T15:18:05.27" personId="{69536558-3815-4EC5-80BA-AB90345393D6}" id="{A66F2449-AB1F-4404-BE13-7024C8D6172E}" parentId="{9BF1C8F3-FAB8-4530-9767-ADE0A7CC13CF}">
    <text>Source: Sustainable coal tar pitch carbon fiber manufacturing</text>
  </threadedComment>
  <threadedComment ref="A11" dT="2022-09-28T14:50:49.79" personId="{69536558-3815-4EC5-80BA-AB90345393D6}" id="{A9718443-8A1C-4B9C-A996-33F38F26FA43}">
    <text>http://www.researchinchina.com/UpLoads/ArticleFreePartPath/20180330183236.pdf</text>
  </threadedComment>
  <threadedComment ref="A56" dT="2022-09-27T15:17:41.47" personId="{69536558-3815-4EC5-80BA-AB90345393D6}" id="{4E32086C-75BD-45AE-99D8-E4AF82E29CAC}">
    <text>Coal tar pitch price (700 MUSD/Mt)</text>
  </threadedComment>
  <threadedComment ref="A56" dT="2022-09-27T15:18:05.27" personId="{69536558-3815-4EC5-80BA-AB90345393D6}" id="{C829B25B-DB3B-4C64-AB72-AC5E57E30438}" parentId="{4E32086C-75BD-45AE-99D8-E4AF82E29CAC}">
    <text>Source: Sustainable coal tar pitch carbon fiber manufacturing</text>
  </threadedComment>
  <threadedComment ref="A58" dT="2022-09-28T14:50:54.04" personId="{69536558-3815-4EC5-80BA-AB90345393D6}" id="{FDE9CCB3-C66B-4F24-B24F-CF925704C203}">
    <text>http://www.researchinchina.com/UpLoads/ArticleFreePartPath/20180330183236.pdf</text>
  </threadedComment>
  <threadedComment ref="A59" dT="2022-09-27T15:17:41.47" personId="{69536558-3815-4EC5-80BA-AB90345393D6}" id="{353BF8C6-593A-4DFC-8382-AFBC46891591}">
    <text>Coal tar pitch price (700 MUSD/Mt)</text>
  </threadedComment>
  <threadedComment ref="A59" dT="2022-09-27T15:18:05.27" personId="{69536558-3815-4EC5-80BA-AB90345393D6}" id="{2D850B98-DC5B-433D-B481-2A1991165337}" parentId="{353BF8C6-593A-4DFC-8382-AFBC46891591}">
    <text>Source: Sustainable coal tar pitch carbon fiber manufacturing</text>
  </threadedComment>
  <threadedComment ref="A61" dT="2022-09-28T14:50:49.79" personId="{69536558-3815-4EC5-80BA-AB90345393D6}" id="{C96F4831-B318-44D1-AA15-1E157FD21AC2}">
    <text>http://www.researchinchina.com/UpLoads/ArticleFreePartPath/20180330183236.pdf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2" dT="2022-05-16T08:40:16.11" personId="{69536558-3815-4EC5-80BA-AB90345393D6}" id="{824A2D2A-C386-4634-B3AC-EBF2EA726955}">
    <text>Is this a thing?</text>
  </threadedComment>
  <threadedComment ref="E3" dT="2022-05-16T08:40:16.11" personId="{69536558-3815-4EC5-80BA-AB90345393D6}" id="{908B5A0C-FCAD-49A5-B289-C4743454D913}">
    <text>Is this a thing?</text>
  </threadedComment>
  <threadedComment ref="F3" dT="2023-02-21T14:19:23.13" personId="{69536558-3815-4EC5-80BA-AB90345393D6}" id="{E9A82345-4908-4E88-94D4-C950919074E4}">
    <text xml:space="preserve">Converting from Mt of coal to GWa. 
Start by converting Mt of coal to MJ (through ton of coal equivalents).
</text>
  </threadedComment>
  <threadedComment ref="E4" dT="2022-05-16T08:40:16.11" personId="{69536558-3815-4EC5-80BA-AB90345393D6}" id="{F376B4DF-41CA-41D5-9EE0-2151EA5AE6AD}">
    <text>Is this a thing?</text>
  </threadedComment>
  <threadedComment ref="E5" dT="2022-05-16T08:40:16.11" personId="{69536558-3815-4EC5-80BA-AB90345393D6}" id="{3C7F1ED6-2C41-4C47-91EF-E3F99E4381E8}">
    <text>Is this a thing?</text>
  </threadedComment>
  <threadedComment ref="E8" dT="2022-05-16T08:40:16.11" personId="{69536558-3815-4EC5-80BA-AB90345393D6}" id="{CB398762-7820-43EC-9A2B-0F9EA373C126}">
    <text>Is this a thing?</text>
  </threadedComment>
  <threadedComment ref="E9" dT="2022-05-16T08:40:16.11" personId="{69536558-3815-4EC5-80BA-AB90345393D6}" id="{75FD9511-09EA-4273-909E-6C409F20B801}">
    <text>Is this a thing?</text>
  </threadedComment>
  <threadedComment ref="E15" dT="2022-05-16T08:40:16.11" personId="{69536558-3815-4EC5-80BA-AB90345393D6}" id="{071FFE05-1BDE-4636-9D40-310F0BF003A1}">
    <text>Is this a thing?</text>
  </threadedComment>
  <threadedComment ref="E16" dT="2022-05-16T08:40:16.11" personId="{69536558-3815-4EC5-80BA-AB90345393D6}" id="{C2588B9F-BFC3-4CED-8A00-920EB69A281E}">
    <text>Is this a thing?</text>
  </threadedComment>
  <threadedComment ref="E17" dT="2022-05-16T08:40:16.11" personId="{69536558-3815-4EC5-80BA-AB90345393D6}" id="{849D376C-8C48-494B-B74D-A54514E7D9CB}">
    <text>Is this a thing?</text>
  </threadedComment>
  <threadedComment ref="E22" dT="2022-05-16T08:40:16.11" personId="{69536558-3815-4EC5-80BA-AB90345393D6}" id="{33DC2D93-DD97-4371-B910-9EFC4EB115C5}">
    <text>Is this a thing?</text>
  </threadedComment>
  <threadedComment ref="E23" dT="2022-05-16T08:40:16.11" personId="{69536558-3815-4EC5-80BA-AB90345393D6}" id="{CD56E2EB-5E5B-40D9-8EFE-0543983801BD}">
    <text>Is this a thing?</text>
  </threadedComment>
  <threadedComment ref="E24" dT="2022-05-16T08:40:16.11" personId="{69536558-3815-4EC5-80BA-AB90345393D6}" id="{3334AEB7-6F73-4708-8924-CFFFA8BD9813}">
    <text>Is this a thing?</text>
  </threadedComment>
  <threadedComment ref="F32" dT="2023-02-21T13:17:22.34" personId="{69536558-3815-4EC5-80BA-AB90345393D6}" id="{563589BB-D893-48CE-8A12-95B5467B0601}">
    <text>Converting from Mt of coal to GWa. 
Start by converting Mt of coal to MJ (through ton of coal equivalents).</text>
  </threadedComment>
  <threadedComment ref="H32" dT="2023-02-21T13:17:22.34" personId="{69536558-3815-4EC5-80BA-AB90345393D6}" id="{DE175545-7223-4146-9B65-DDF63ADD92F9}">
    <text>Converting from Mt of coal to GWa. 
Start by converting Mt of coal to MJ (through ton of coal equivalents).</text>
  </threadedComment>
  <threadedComment ref="B49" dT="2022-09-27T15:17:41.47" personId="{69536558-3815-4EC5-80BA-AB90345393D6}" id="{FA3A5B18-E18A-4635-B5B2-B4F6885608FB}">
    <text>Coal tar pitch price (700 MUSD/Mt)</text>
  </threadedComment>
  <threadedComment ref="B49" dT="2022-09-27T15:18:05.27" personId="{69536558-3815-4EC5-80BA-AB90345393D6}" id="{CCD65D8A-9403-470E-9608-2971CC99D6E2}" parentId="{FA3A5B18-E18A-4635-B5B2-B4F6885608FB}">
    <text>Source: Sustainable coal tar pitch carbon fiber manufacturing</text>
  </threadedComment>
  <threadedComment ref="B50" dT="2022-09-27T15:17:41.47" personId="{69536558-3815-4EC5-80BA-AB90345393D6}" id="{699F33B2-CEBC-474E-B179-5216B69263F3}">
    <text>Coal tar pitch price (700 MUSD/Mt)</text>
  </threadedComment>
  <threadedComment ref="B50" dT="2022-09-27T15:18:05.27" personId="{69536558-3815-4EC5-80BA-AB90345393D6}" id="{FBF5CAD0-02E4-44BF-89E7-D43E24E5F5B9}" parentId="{699F33B2-CEBC-474E-B179-5216B69263F3}">
    <text>Source: Sustainable coal tar pitch carbon fiber manufacturing</text>
  </threadedComment>
  <threadedComment ref="B51" dT="2022-09-27T15:17:41.47" personId="{69536558-3815-4EC5-80BA-AB90345393D6}" id="{4D6ECB86-B3C4-4589-B2E3-20C07D64D3D6}">
    <text>Coal tar pitch price (700 MUSD/Mt)</text>
  </threadedComment>
  <threadedComment ref="B51" dT="2022-09-27T15:18:05.27" personId="{69536558-3815-4EC5-80BA-AB90345393D6}" id="{B82EFD28-798B-45CB-ACBC-C54EA2494BC9}" parentId="{4D6ECB86-B3C4-4589-B2E3-20C07D64D3D6}">
    <text>Source: Sustainable coal tar pitch carbon fiber manufacturing</text>
  </threadedComment>
  <threadedComment ref="F138" dT="2023-03-13T13:35:51.75" personId="{69536558-3815-4EC5-80BA-AB90345393D6}" id="{DC02314F-C234-4E0C-AFAC-914157FAD837}">
    <text>Old value, but with this price commodity around 200k</text>
  </threadedComment>
  <threadedComment ref="H142" dT="2023-03-03T10:14:31.80" personId="{69536558-3815-4EC5-80BA-AB90345393D6}" id="{656EE592-FC14-4F0B-8C81-F2095B84DD90}">
    <text xml:space="preserve">Old values, they have been used to normalize per Mton of CoOH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4" dT="2022-09-27T15:17:41.47" personId="{69536558-3815-4EC5-80BA-AB90345393D6}" id="{96CC4A79-7F98-4A5A-AA29-6CE3758A06AC}">
    <text>Coal tar pitch price (700 MUSD/Mt)</text>
  </threadedComment>
  <threadedComment ref="A4" dT="2022-09-27T15:18:05.27" personId="{69536558-3815-4EC5-80BA-AB90345393D6}" id="{6F679EE7-69DF-4A98-A574-0F5BB8394D41}" parentId="{96CC4A79-7F98-4A5A-AA29-6CE3758A06AC}">
    <text>Source: Sustainable coal tar pitch carbon fiber manufacturing</text>
  </threadedComment>
  <threadedComment ref="A5" dT="2022-09-27T15:17:41.47" personId="{69536558-3815-4EC5-80BA-AB90345393D6}" id="{4FB41136-3CDB-4402-AC92-A4F92B4640E9}">
    <text>Coal tar pitch price (700 MUSD/Mt)</text>
  </threadedComment>
  <threadedComment ref="A5" dT="2022-09-27T15:18:05.27" personId="{69536558-3815-4EC5-80BA-AB90345393D6}" id="{1C41EEE4-CD9E-4788-B297-C46FD4D67E48}" parentId="{4FB41136-3CDB-4402-AC92-A4F92B4640E9}">
    <text>Source: Sustainable coal tar pitch carbon fiber manufacturing</text>
  </threadedComment>
  <threadedComment ref="A6" dT="2022-09-27T15:17:41.47" personId="{69536558-3815-4EC5-80BA-AB90345393D6}" id="{885736A6-0FBF-4C5C-9BC4-55E70CB2E417}">
    <text>Coal tar pitch price (700 MUSD/Mt)</text>
  </threadedComment>
  <threadedComment ref="A6" dT="2022-09-27T15:18:05.27" personId="{69536558-3815-4EC5-80BA-AB90345393D6}" id="{998E38D4-F130-45B3-98DA-9118880CC38E}" parentId="{885736A6-0FBF-4C5C-9BC4-55E70CB2E417}">
    <text>Source: Sustainable coal tar pitch carbon fiber manufacturing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pages.marketintelligence.spglobal.com/lithium-sector-outlook-costs-and-margins-confirmation-CD.html" TargetMode="External"/><Relationship Id="rId13" Type="http://schemas.openxmlformats.org/officeDocument/2006/relationships/hyperlink" Target="https://www.resourcesrisingstars.com.au/sites/default/files/NZC_160418.pdf" TargetMode="External"/><Relationship Id="rId18" Type="http://schemas.microsoft.com/office/2017/10/relationships/threadedComment" Target="../threadedComments/threadedComment7.xml"/><Relationship Id="rId3" Type="http://schemas.openxmlformats.org/officeDocument/2006/relationships/hyperlink" Target="https://www.northerngraphite.com/_resources/media/SPG-Summary-2.pdf" TargetMode="External"/><Relationship Id="rId7" Type="http://schemas.openxmlformats.org/officeDocument/2006/relationships/hyperlink" Target="https://pages.marketintelligence.spglobal.com/lithium-sector-outlook-costs-and-margins-confirmation-CD.html" TargetMode="External"/><Relationship Id="rId12" Type="http://schemas.openxmlformats.org/officeDocument/2006/relationships/hyperlink" Target="https://iopscience.iop.org/article/10.1149/2.F06202IF/pdf" TargetMode="External"/><Relationship Id="rId17" Type="http://schemas.openxmlformats.org/officeDocument/2006/relationships/comments" Target="../comments7.xml"/><Relationship Id="rId2" Type="http://schemas.openxmlformats.org/officeDocument/2006/relationships/hyperlink" Target="https://www.northerngraphite.com/_resources/media/SPG-Summary-2.pdf" TargetMode="External"/><Relationship Id="rId16" Type="http://schemas.openxmlformats.org/officeDocument/2006/relationships/table" Target="../tables/table2.xml"/><Relationship Id="rId1" Type="http://schemas.openxmlformats.org/officeDocument/2006/relationships/hyperlink" Target="https://www.northerngraphite.com/_resources/media/SPG-Summary-2.pdf" TargetMode="External"/><Relationship Id="rId6" Type="http://schemas.openxmlformats.org/officeDocument/2006/relationships/hyperlink" Target="https://doi.org/10.1016/j.exis.2021.100984" TargetMode="External"/><Relationship Id="rId11" Type="http://schemas.openxmlformats.org/officeDocument/2006/relationships/hyperlink" Target="https://piedmontlithium.com/wp-content/uploads/220309-Piedmont-Expands-LiOH-Plans-to-60k-with-Second-LiOH-Plant-USA-FINAL-1.pdf" TargetMode="External"/><Relationship Id="rId5" Type="http://schemas.openxmlformats.org/officeDocument/2006/relationships/hyperlink" Target="https://www.dancarbon.com/q/carbon/pet-coke-price-249.html" TargetMode="External"/><Relationship Id="rId15" Type="http://schemas.openxmlformats.org/officeDocument/2006/relationships/vmlDrawing" Target="../drawings/vmlDrawing7.vml"/><Relationship Id="rId10" Type="http://schemas.openxmlformats.org/officeDocument/2006/relationships/hyperlink" Target="https://piedmontlithium.com/wp-content/uploads/220309-Piedmont-Expands-LiOH-Plans-to-60k-with-Second-LiOH-Plant-USA-FINAL-1.pdf" TargetMode="External"/><Relationship Id="rId4" Type="http://schemas.openxmlformats.org/officeDocument/2006/relationships/hyperlink" Target="https://www.dancarbon.com/blog/graphiteelectrode/310.html" TargetMode="External"/><Relationship Id="rId9" Type="http://schemas.openxmlformats.org/officeDocument/2006/relationships/hyperlink" Target="https://doi.org/10.1016/j.exis.2021.100984" TargetMode="External"/><Relationship Id="rId14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5.bin"/><Relationship Id="rId4" Type="http://schemas.microsoft.com/office/2017/10/relationships/threadedComment" Target="../threadedComments/threadedComment8.xm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www.northerngraphite.com/_resources/media/SPG-Summary-2.pdf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northerngraphite.com/_resources/media/SPG-Summary-2.pdf" TargetMode="External"/><Relationship Id="rId1" Type="http://schemas.openxmlformats.org/officeDocument/2006/relationships/hyperlink" Target="https://www.northerngraphite.com/_resources/media/SPG-Summary-2.pdf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iencedirect.com/science/article/pii/S2238785422017069" TargetMode="External"/><Relationship Id="rId18" Type="http://schemas.openxmlformats.org/officeDocument/2006/relationships/hyperlink" Target="https://d9-wret.s3.us-west-2.amazonaws.com/assets/palladium/production/mineral-pubs/graphite/myb1-2013-graph.pdf" TargetMode="External"/><Relationship Id="rId26" Type="http://schemas.openxmlformats.org/officeDocument/2006/relationships/hyperlink" Target="https://d9-wret.s3.us-west-2.amazonaws.com/assets/palladium/production/mineral-pubs/graphite/myb1-2013-graph.pdf" TargetMode="External"/><Relationship Id="rId39" Type="http://schemas.microsoft.com/office/2017/10/relationships/threadedComment" Target="../threadedComments/threadedComment3.xml"/><Relationship Id="rId21" Type="http://schemas.openxmlformats.org/officeDocument/2006/relationships/hyperlink" Target="https://d9-wret.s3-us-west-2.amazonaws.com/assets/palladium/production/atoms/files/myb1-2016-graph.pdf" TargetMode="External"/><Relationship Id="rId34" Type="http://schemas.openxmlformats.org/officeDocument/2006/relationships/hyperlink" Target="https://d9-wret.s3.us-west-2.amazonaws.com/assets/palladium/production/mineral-pubs/graphite/myb1-2013-graph.pdf" TargetMode="External"/><Relationship Id="rId7" Type="http://schemas.openxmlformats.org/officeDocument/2006/relationships/hyperlink" Target="https://www.fastmarkets.com/insights/global-lithium-supply-developing-at-accelerating-pace-on-growing-demand" TargetMode="External"/><Relationship Id="rId12" Type="http://schemas.openxmlformats.org/officeDocument/2006/relationships/hyperlink" Target="https://d9-wret.s3-us-west-2.amazonaws.com/assets/palladium/production/atoms/files/myb1-2016-graph.pdf" TargetMode="External"/><Relationship Id="rId17" Type="http://schemas.openxmlformats.org/officeDocument/2006/relationships/hyperlink" Target="https://d9-wret.s3-us-west-2.amazonaws.com/assets/palladium/production/atoms/files/myb1-2016-graph.pdf" TargetMode="External"/><Relationship Id="rId25" Type="http://schemas.openxmlformats.org/officeDocument/2006/relationships/hyperlink" Target="https://d9-wret.s3-us-west-2.amazonaws.com/assets/palladium/production/atoms/files/myb1-2016-graph.pdf" TargetMode="External"/><Relationship Id="rId33" Type="http://schemas.openxmlformats.org/officeDocument/2006/relationships/hyperlink" Target="https://d9-wret.s3-us-west-2.amazonaws.com/assets/palladium/production/atoms/files/myb1-2016-graph.pdf" TargetMode="External"/><Relationship Id="rId38" Type="http://schemas.openxmlformats.org/officeDocument/2006/relationships/comments" Target="../comments3.xml"/><Relationship Id="rId2" Type="http://schemas.openxmlformats.org/officeDocument/2006/relationships/hyperlink" Target="https://d9-wret.s3.us-west-2.amazonaws.com/assets/palladium/production/mineral-pubs/lithium/myb1-2010-lithi.pdf" TargetMode="External"/><Relationship Id="rId16" Type="http://schemas.openxmlformats.org/officeDocument/2006/relationships/hyperlink" Target="https://d9-wret.s3-us-west-2.amazonaws.com/assets/palladium/production/atoms/files/myb1-2016-graph.pdf" TargetMode="External"/><Relationship Id="rId20" Type="http://schemas.openxmlformats.org/officeDocument/2006/relationships/hyperlink" Target="https://d9-wret.s3-us-west-2.amazonaws.com/assets/palladium/production/atoms/files/myb1-2016-graph.pdf" TargetMode="External"/><Relationship Id="rId29" Type="http://schemas.openxmlformats.org/officeDocument/2006/relationships/hyperlink" Target="https://d9-wret.s3-us-west-2.amazonaws.com/assets/palladium/production/atoms/files/myb1-2016-graph.pdf" TargetMode="External"/><Relationship Id="rId1" Type="http://schemas.openxmlformats.org/officeDocument/2006/relationships/hyperlink" Target="https://d9-wret.s3.us-west-2.amazonaws.com/assets/palladium/production/mineral-pubs/lithium/myb1-2010-lithi.pdf" TargetMode="External"/><Relationship Id="rId6" Type="http://schemas.openxmlformats.org/officeDocument/2006/relationships/hyperlink" Target="https://pubs.usgs.gov/myb/vol1/2017/myb1-2017-copper.pdf" TargetMode="External"/><Relationship Id="rId11" Type="http://schemas.openxmlformats.org/officeDocument/2006/relationships/hyperlink" Target="https://d9-wret.s3-us-west-2.amazonaws.com/assets/palladium/production/atoms/files/myb1-2016-graph.pdf" TargetMode="External"/><Relationship Id="rId24" Type="http://schemas.openxmlformats.org/officeDocument/2006/relationships/hyperlink" Target="https://d9-wret.s3-us-west-2.amazonaws.com/assets/palladium/production/atoms/files/myb1-2016-graph.pdf" TargetMode="External"/><Relationship Id="rId32" Type="http://schemas.openxmlformats.org/officeDocument/2006/relationships/hyperlink" Target="https://d9-wret.s3-us-west-2.amazonaws.com/assets/palladium/production/atoms/files/myb1-2016-graph.pdf" TargetMode="External"/><Relationship Id="rId37" Type="http://schemas.openxmlformats.org/officeDocument/2006/relationships/vmlDrawing" Target="../drawings/vmlDrawing3.vml"/><Relationship Id="rId5" Type="http://schemas.openxmlformats.org/officeDocument/2006/relationships/hyperlink" Target="https://d9-wret.s3.us-west-2.amazonaws.com/assets/palladium/production/mineral-pubs/copper/myb1-2013-coppe.pdf" TargetMode="External"/><Relationship Id="rId15" Type="http://schemas.openxmlformats.org/officeDocument/2006/relationships/hyperlink" Target="https://d9-wret.s3.us-west-2.amazonaws.com/assets/palladium/production/mineral-pubs/graphite/myb1-2013-graph.pdf" TargetMode="External"/><Relationship Id="rId23" Type="http://schemas.openxmlformats.org/officeDocument/2006/relationships/hyperlink" Target="https://d9-wret.s3.us-west-2.amazonaws.com/assets/palladium/production/mineral-pubs/graphite/myb1-2013-graph.pdf" TargetMode="External"/><Relationship Id="rId28" Type="http://schemas.openxmlformats.org/officeDocument/2006/relationships/hyperlink" Target="https://d9-wret.s3-us-west-2.amazonaws.com/assets/palladium/production/atoms/files/myb1-2016-graph.pdf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https://www.fastmarkets.com/insights/global-lithium-supply-developing-at-accelerating-pace-on-growing-demand" TargetMode="External"/><Relationship Id="rId19" Type="http://schemas.openxmlformats.org/officeDocument/2006/relationships/hyperlink" Target="https://d9-wret.s3.us-west-2.amazonaws.com/assets/palladium/production/mineral-pubs/graphite/myb1-2013-graph.pdf" TargetMode="External"/><Relationship Id="rId31" Type="http://schemas.openxmlformats.org/officeDocument/2006/relationships/hyperlink" Target="https://d9-wret.s3.us-west-2.amazonaws.com/assets/palladium/production/mineral-pubs/graphite/myb1-2013-graph.pdf" TargetMode="External"/><Relationship Id="rId4" Type="http://schemas.openxmlformats.org/officeDocument/2006/relationships/hyperlink" Target="https://d9-wret.s3.us-west-2.amazonaws.com/assets/palladium/production/mineral-pubs/lithium/myb1-2015-lithi.pdf" TargetMode="External"/><Relationship Id="rId9" Type="http://schemas.openxmlformats.org/officeDocument/2006/relationships/hyperlink" Target="https://www.fastmarkets.com/insights/global-lithium-supply-developing-at-accelerating-pace-on-growing-demand" TargetMode="External"/><Relationship Id="rId14" Type="http://schemas.openxmlformats.org/officeDocument/2006/relationships/hyperlink" Target="https://d9-wret.s3.us-west-2.amazonaws.com/assets/palladium/production/mineral-pubs/graphite/myb1-2013-graph.pdf" TargetMode="External"/><Relationship Id="rId22" Type="http://schemas.openxmlformats.org/officeDocument/2006/relationships/hyperlink" Target="https://d9-wret.s3.us-west-2.amazonaws.com/assets/palladium/production/mineral-pubs/graphite/myb1-2013-graph.pdf" TargetMode="External"/><Relationship Id="rId27" Type="http://schemas.openxmlformats.org/officeDocument/2006/relationships/hyperlink" Target="https://d9-wret.s3.us-west-2.amazonaws.com/assets/palladium/production/mineral-pubs/graphite/myb1-2013-graph.pdf" TargetMode="External"/><Relationship Id="rId30" Type="http://schemas.openxmlformats.org/officeDocument/2006/relationships/hyperlink" Target="https://d9-wret.s3.us-west-2.amazonaws.com/assets/palladium/production/mineral-pubs/graphite/myb1-2013-graph.pdf" TargetMode="External"/><Relationship Id="rId35" Type="http://schemas.openxmlformats.org/officeDocument/2006/relationships/hyperlink" Target="https://d9-wret.s3.us-west-2.amazonaws.com/assets/palladium/production/mineral-pubs/graphite/myb1-2013-graph.pdf" TargetMode="External"/><Relationship Id="rId8" Type="http://schemas.openxmlformats.org/officeDocument/2006/relationships/hyperlink" Target="https://www.fastmarkets.com/insights/global-lithium-supply-developing-at-accelerating-pace-on-growing-demand" TargetMode="External"/><Relationship Id="rId3" Type="http://schemas.openxmlformats.org/officeDocument/2006/relationships/hyperlink" Target="https://d9-wret.s3.us-west-2.amazonaws.com/assets/palladium/production/mineral-pubs/lithium/myb1-2015-lithi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9-wret.s3.us-west-2.amazonaws.com/assets/palladium/production/atoms/files/myb1-2017-cobal.pdf" TargetMode="External"/><Relationship Id="rId13" Type="http://schemas.openxmlformats.org/officeDocument/2006/relationships/hyperlink" Target="https://www.fastmarkets.com/insights/global-lithium-supply-developing-at-accelerating-pace-on-growing-demand" TargetMode="External"/><Relationship Id="rId18" Type="http://schemas.openxmlformats.org/officeDocument/2006/relationships/vmlDrawing" Target="../drawings/vmlDrawing4.vml"/><Relationship Id="rId3" Type="http://schemas.openxmlformats.org/officeDocument/2006/relationships/hyperlink" Target="https://d9-wret.s3.us-west-2.amazonaws.com/assets/palladium/production/mineral-pubs/lithium/myb1-2015-lithi.pdf" TargetMode="External"/><Relationship Id="rId7" Type="http://schemas.openxmlformats.org/officeDocument/2006/relationships/hyperlink" Target="https://d9-wret.s3.us-west-2.amazonaws.com/assets/palladium/production/mineral-pubs/cobalt/myb1-2014-cobal.pdf" TargetMode="External"/><Relationship Id="rId12" Type="http://schemas.openxmlformats.org/officeDocument/2006/relationships/hyperlink" Target="https://pubs.usgs.gov/myb/vol1/2017/myb1-2017-copper.pdf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d9-wret.s3.us-west-2.amazonaws.com/assets/palladium/production/mineral-pubs/lithium/myb1-2010-lithi.pdf" TargetMode="External"/><Relationship Id="rId16" Type="http://schemas.openxmlformats.org/officeDocument/2006/relationships/hyperlink" Target="https://www.fastmarkets.com/insights/global-lithium-supply-developing-at-accelerating-pace-on-growing-demand" TargetMode="External"/><Relationship Id="rId20" Type="http://schemas.microsoft.com/office/2017/10/relationships/threadedComment" Target="../threadedComments/threadedComment4.xml"/><Relationship Id="rId1" Type="http://schemas.openxmlformats.org/officeDocument/2006/relationships/hyperlink" Target="https://d9-wret.s3.us-west-2.amazonaws.com/assets/palladium/production/mineral-pubs/lithium/myb1-2010-lithi.pdf" TargetMode="External"/><Relationship Id="rId6" Type="http://schemas.openxmlformats.org/officeDocument/2006/relationships/hyperlink" Target="https://gigametals.com/site/assets/files/4861/2018-03-19-hpal.pdf" TargetMode="External"/><Relationship Id="rId11" Type="http://schemas.openxmlformats.org/officeDocument/2006/relationships/hyperlink" Target="https://d9-wret.s3.us-west-2.amazonaws.com/assets/palladium/production/mineral-pubs/copper/myb1-2013-coppe.pdf" TargetMode="External"/><Relationship Id="rId5" Type="http://schemas.openxmlformats.org/officeDocument/2006/relationships/hyperlink" Target="https://gigametals.com/site/assets/files/4861/2018-03-19-hpal.pdf" TargetMode="External"/><Relationship Id="rId15" Type="http://schemas.openxmlformats.org/officeDocument/2006/relationships/hyperlink" Target="https://www.fastmarkets.com/insights/global-lithium-supply-developing-at-accelerating-pace-on-growing-demand" TargetMode="External"/><Relationship Id="rId10" Type="http://schemas.openxmlformats.org/officeDocument/2006/relationships/hyperlink" Target="https://d9-wret.s3.us-west-2.amazonaws.com/assets/palladium/production/mineral-pubs/nickel/myb1-2012-nicke.pdf" TargetMode="External"/><Relationship Id="rId19" Type="http://schemas.openxmlformats.org/officeDocument/2006/relationships/comments" Target="../comments4.xml"/><Relationship Id="rId4" Type="http://schemas.openxmlformats.org/officeDocument/2006/relationships/hyperlink" Target="https://d9-wret.s3.us-west-2.amazonaws.com/assets/palladium/production/mineral-pubs/lithium/myb1-2015-lithi.pdf" TargetMode="External"/><Relationship Id="rId9" Type="http://schemas.openxmlformats.org/officeDocument/2006/relationships/hyperlink" Target="https://d9-wret.s3.us-west-2.amazonaws.com/assets/palladium/production/atoms/files/myb1-2017-nickel-2.pdf" TargetMode="External"/><Relationship Id="rId14" Type="http://schemas.openxmlformats.org/officeDocument/2006/relationships/hyperlink" Target="https://www.fastmarkets.com/insights/global-lithium-supply-developing-at-accelerating-pace-on-growing-deman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5079A-F0F5-4C74-A7CA-FD13F50F1E2A}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78CB-F1A4-49EF-88A5-B0AFCEECD672}">
  <dimension ref="A1:W30"/>
  <sheetViews>
    <sheetView workbookViewId="0"/>
  </sheetViews>
  <sheetFormatPr defaultRowHeight="15"/>
  <cols>
    <col min="1" max="1" width="35.140625" customWidth="1"/>
    <col min="3" max="3" width="14.85546875" customWidth="1"/>
  </cols>
  <sheetData>
    <row r="1" spans="1:23">
      <c r="A1" s="16" t="s">
        <v>52</v>
      </c>
      <c r="B1" s="16" t="s">
        <v>54</v>
      </c>
      <c r="C1" s="16" t="s">
        <v>55</v>
      </c>
      <c r="D1" s="16">
        <v>2010</v>
      </c>
      <c r="E1" s="16">
        <v>2020</v>
      </c>
      <c r="F1" s="16">
        <f>E1+5</f>
        <v>2025</v>
      </c>
      <c r="G1" s="16">
        <v>2030</v>
      </c>
      <c r="H1" s="16">
        <f>G1+5</f>
        <v>2035</v>
      </c>
      <c r="I1" s="16">
        <v>2040</v>
      </c>
      <c r="J1" s="16">
        <f>I1+5</f>
        <v>2045</v>
      </c>
      <c r="K1" s="16">
        <v>2050</v>
      </c>
      <c r="L1" s="16">
        <f>K1+5</f>
        <v>2055</v>
      </c>
      <c r="M1" s="16">
        <v>2060</v>
      </c>
      <c r="N1" s="16">
        <f>M1+5</f>
        <v>2065</v>
      </c>
      <c r="O1" s="16">
        <v>2070</v>
      </c>
      <c r="P1" s="16">
        <f>O1+5</f>
        <v>2075</v>
      </c>
      <c r="Q1" s="16">
        <v>2080</v>
      </c>
      <c r="R1" s="16">
        <f>Q1+5</f>
        <v>2085</v>
      </c>
      <c r="S1" s="16">
        <v>2090</v>
      </c>
      <c r="T1" s="16">
        <f>S1+5</f>
        <v>2095</v>
      </c>
      <c r="U1" s="16">
        <v>2100</v>
      </c>
      <c r="V1" s="16">
        <v>2105</v>
      </c>
      <c r="W1" s="16">
        <v>2110</v>
      </c>
    </row>
    <row r="2" spans="1:23">
      <c r="A2" t="s">
        <v>10</v>
      </c>
      <c r="B2" s="18" t="s">
        <v>15</v>
      </c>
      <c r="C2" t="s">
        <v>40</v>
      </c>
      <c r="D2" s="17">
        <v>575</v>
      </c>
      <c r="E2" s="7">
        <f t="shared" ref="E2:E7" si="0">D2</f>
        <v>575</v>
      </c>
      <c r="F2" s="7">
        <f>E2</f>
        <v>575</v>
      </c>
      <c r="G2" s="7">
        <f t="shared" ref="G2:G7" si="1">E2</f>
        <v>575</v>
      </c>
      <c r="H2" s="7">
        <f>G2</f>
        <v>575</v>
      </c>
      <c r="I2" s="7">
        <f t="shared" ref="I2:I7" si="2">G2</f>
        <v>575</v>
      </c>
      <c r="J2" s="7">
        <f>I2</f>
        <v>575</v>
      </c>
      <c r="K2" s="7">
        <f t="shared" ref="K2:K7" si="3">I2</f>
        <v>575</v>
      </c>
      <c r="L2" s="7">
        <f>K2</f>
        <v>575</v>
      </c>
      <c r="M2" s="7">
        <f t="shared" ref="M2:M7" si="4">K2</f>
        <v>575</v>
      </c>
      <c r="N2" s="7">
        <f>M2</f>
        <v>575</v>
      </c>
      <c r="O2" s="7">
        <f t="shared" ref="O2:O7" si="5">M2</f>
        <v>575</v>
      </c>
      <c r="P2" s="7">
        <f>O2</f>
        <v>575</v>
      </c>
      <c r="Q2" s="7">
        <f t="shared" ref="Q2:Q7" si="6">O2</f>
        <v>575</v>
      </c>
      <c r="R2" s="7">
        <f>Q2</f>
        <v>575</v>
      </c>
      <c r="S2" s="7">
        <f t="shared" ref="S2:S7" si="7">Q2</f>
        <v>575</v>
      </c>
      <c r="T2" s="7">
        <f>S2</f>
        <v>575</v>
      </c>
      <c r="U2" s="7">
        <f t="shared" ref="U2:W2" si="8">S2</f>
        <v>575</v>
      </c>
      <c r="V2" s="7">
        <f t="shared" si="8"/>
        <v>575</v>
      </c>
      <c r="W2" s="7">
        <f t="shared" si="8"/>
        <v>575</v>
      </c>
    </row>
    <row r="3" spans="1:23">
      <c r="A3" t="s">
        <v>43</v>
      </c>
      <c r="B3" s="2" t="s">
        <v>15</v>
      </c>
      <c r="C3" t="s">
        <v>40</v>
      </c>
      <c r="D3">
        <v>3500</v>
      </c>
      <c r="E3">
        <f t="shared" si="0"/>
        <v>3500</v>
      </c>
      <c r="F3" s="7">
        <f t="shared" ref="F3:H30" si="9">E3</f>
        <v>3500</v>
      </c>
      <c r="G3">
        <f t="shared" si="1"/>
        <v>3500</v>
      </c>
      <c r="H3" s="7">
        <f t="shared" si="9"/>
        <v>3500</v>
      </c>
      <c r="I3">
        <f t="shared" si="2"/>
        <v>3500</v>
      </c>
      <c r="J3" s="7">
        <f t="shared" ref="J3" si="10">I3</f>
        <v>3500</v>
      </c>
      <c r="K3">
        <f t="shared" si="3"/>
        <v>3500</v>
      </c>
      <c r="L3" s="7">
        <f t="shared" ref="L3" si="11">K3</f>
        <v>3500</v>
      </c>
      <c r="M3">
        <f t="shared" si="4"/>
        <v>3500</v>
      </c>
      <c r="N3" s="7">
        <f t="shared" ref="N3" si="12">M3</f>
        <v>3500</v>
      </c>
      <c r="O3">
        <f t="shared" si="5"/>
        <v>3500</v>
      </c>
      <c r="P3" s="7">
        <f t="shared" ref="P3" si="13">O3</f>
        <v>3500</v>
      </c>
      <c r="Q3">
        <f t="shared" si="6"/>
        <v>3500</v>
      </c>
      <c r="R3" s="7">
        <f t="shared" ref="R3" si="14">Q3</f>
        <v>3500</v>
      </c>
      <c r="S3">
        <f t="shared" si="7"/>
        <v>3500</v>
      </c>
      <c r="T3" s="7">
        <f t="shared" ref="T3" si="15">S3</f>
        <v>3500</v>
      </c>
      <c r="U3">
        <f t="shared" ref="U3:W7" si="16">S3</f>
        <v>3500</v>
      </c>
      <c r="V3">
        <f t="shared" si="16"/>
        <v>3500</v>
      </c>
      <c r="W3">
        <f t="shared" si="16"/>
        <v>3500</v>
      </c>
    </row>
    <row r="4" spans="1:23">
      <c r="A4" t="s">
        <v>61</v>
      </c>
      <c r="B4" t="s">
        <v>15</v>
      </c>
      <c r="C4" t="s">
        <v>40</v>
      </c>
      <c r="D4" s="28">
        <f>Graphite_format!F50</f>
        <v>784</v>
      </c>
      <c r="E4" s="28">
        <f t="shared" si="0"/>
        <v>784</v>
      </c>
      <c r="F4" s="7">
        <f t="shared" si="9"/>
        <v>784</v>
      </c>
      <c r="G4" s="28">
        <f t="shared" si="1"/>
        <v>784</v>
      </c>
      <c r="H4" s="7">
        <f t="shared" si="9"/>
        <v>784</v>
      </c>
      <c r="I4" s="28">
        <f t="shared" si="2"/>
        <v>784</v>
      </c>
      <c r="J4" s="7">
        <f t="shared" ref="J4" si="17">I4</f>
        <v>784</v>
      </c>
      <c r="K4" s="28">
        <f t="shared" si="3"/>
        <v>784</v>
      </c>
      <c r="L4" s="7">
        <f t="shared" ref="L4" si="18">K4</f>
        <v>784</v>
      </c>
      <c r="M4" s="28">
        <f t="shared" si="4"/>
        <v>784</v>
      </c>
      <c r="N4" s="7">
        <f t="shared" ref="N4" si="19">M4</f>
        <v>784</v>
      </c>
      <c r="O4" s="28">
        <f t="shared" si="5"/>
        <v>784</v>
      </c>
      <c r="P4" s="7">
        <f t="shared" ref="P4" si="20">O4</f>
        <v>784</v>
      </c>
      <c r="Q4" s="28">
        <f t="shared" si="6"/>
        <v>784</v>
      </c>
      <c r="R4" s="7">
        <f t="shared" ref="R4" si="21">Q4</f>
        <v>784</v>
      </c>
      <c r="S4" s="28">
        <f t="shared" si="7"/>
        <v>784</v>
      </c>
      <c r="T4" s="7">
        <f t="shared" ref="T4" si="22">S4</f>
        <v>784</v>
      </c>
      <c r="U4" s="28">
        <f t="shared" si="16"/>
        <v>784</v>
      </c>
      <c r="V4" s="28">
        <f t="shared" si="16"/>
        <v>784</v>
      </c>
      <c r="W4" s="28">
        <f t="shared" si="16"/>
        <v>784</v>
      </c>
    </row>
    <row r="5" spans="1:23">
      <c r="A5" t="s">
        <v>63</v>
      </c>
      <c r="B5" t="s">
        <v>15</v>
      </c>
      <c r="C5" t="s">
        <v>40</v>
      </c>
      <c r="D5" s="7">
        <f>Graphite_format!F47</f>
        <v>224</v>
      </c>
      <c r="E5" s="7">
        <f t="shared" si="0"/>
        <v>224</v>
      </c>
      <c r="F5" s="7">
        <f t="shared" si="9"/>
        <v>224</v>
      </c>
      <c r="G5" s="7">
        <f t="shared" si="1"/>
        <v>224</v>
      </c>
      <c r="H5" s="7">
        <f t="shared" si="9"/>
        <v>224</v>
      </c>
      <c r="I5" s="7">
        <f t="shared" si="2"/>
        <v>224</v>
      </c>
      <c r="J5" s="7">
        <f t="shared" ref="J5" si="23">I5</f>
        <v>224</v>
      </c>
      <c r="K5" s="7">
        <f t="shared" si="3"/>
        <v>224</v>
      </c>
      <c r="L5" s="7">
        <f t="shared" ref="L5" si="24">K5</f>
        <v>224</v>
      </c>
      <c r="M5" s="7">
        <f t="shared" si="4"/>
        <v>224</v>
      </c>
      <c r="N5" s="7">
        <f t="shared" ref="N5" si="25">M5</f>
        <v>224</v>
      </c>
      <c r="O5" s="7">
        <f t="shared" si="5"/>
        <v>224</v>
      </c>
      <c r="P5" s="7">
        <f t="shared" ref="P5" si="26">O5</f>
        <v>224</v>
      </c>
      <c r="Q5" s="7">
        <f t="shared" si="6"/>
        <v>224</v>
      </c>
      <c r="R5" s="7">
        <f t="shared" ref="R5" si="27">Q5</f>
        <v>224</v>
      </c>
      <c r="S5" s="7">
        <f t="shared" si="7"/>
        <v>224</v>
      </c>
      <c r="T5" s="7">
        <f t="shared" ref="T5" si="28">S5</f>
        <v>224</v>
      </c>
      <c r="U5" s="7">
        <f t="shared" si="16"/>
        <v>224</v>
      </c>
      <c r="V5" s="7">
        <f t="shared" si="16"/>
        <v>224</v>
      </c>
      <c r="W5" s="7">
        <f t="shared" si="16"/>
        <v>224</v>
      </c>
    </row>
    <row r="6" spans="1:23">
      <c r="A6" t="s">
        <v>62</v>
      </c>
      <c r="B6" t="s">
        <v>15</v>
      </c>
      <c r="C6" t="s">
        <v>40</v>
      </c>
      <c r="D6" s="7">
        <f>Graphite_format!F53</f>
        <v>1169</v>
      </c>
      <c r="E6" s="7">
        <f t="shared" si="0"/>
        <v>1169</v>
      </c>
      <c r="F6" s="7">
        <f t="shared" si="9"/>
        <v>1169</v>
      </c>
      <c r="G6" s="7">
        <f t="shared" si="1"/>
        <v>1169</v>
      </c>
      <c r="H6" s="7">
        <f t="shared" si="9"/>
        <v>1169</v>
      </c>
      <c r="I6" s="7">
        <f t="shared" si="2"/>
        <v>1169</v>
      </c>
      <c r="J6" s="7">
        <f t="shared" ref="J6" si="29">I6</f>
        <v>1169</v>
      </c>
      <c r="K6" s="7">
        <f t="shared" si="3"/>
        <v>1169</v>
      </c>
      <c r="L6" s="7">
        <f t="shared" ref="L6" si="30">K6</f>
        <v>1169</v>
      </c>
      <c r="M6" s="7">
        <f t="shared" si="4"/>
        <v>1169</v>
      </c>
      <c r="N6" s="7">
        <f t="shared" ref="N6" si="31">M6</f>
        <v>1169</v>
      </c>
      <c r="O6" s="7">
        <f t="shared" si="5"/>
        <v>1169</v>
      </c>
      <c r="P6" s="7">
        <f t="shared" ref="P6" si="32">O6</f>
        <v>1169</v>
      </c>
      <c r="Q6" s="7">
        <f t="shared" si="6"/>
        <v>1169</v>
      </c>
      <c r="R6" s="7">
        <f t="shared" ref="R6" si="33">Q6</f>
        <v>1169</v>
      </c>
      <c r="S6" s="7">
        <f t="shared" si="7"/>
        <v>1169</v>
      </c>
      <c r="T6" s="7">
        <f t="shared" ref="T6" si="34">S6</f>
        <v>1169</v>
      </c>
      <c r="U6" s="7">
        <f t="shared" si="16"/>
        <v>1169</v>
      </c>
      <c r="V6" s="7">
        <f t="shared" si="16"/>
        <v>1169</v>
      </c>
      <c r="W6" s="7">
        <f t="shared" si="16"/>
        <v>1169</v>
      </c>
    </row>
    <row r="7" spans="1:23">
      <c r="A7" t="s">
        <v>64</v>
      </c>
      <c r="B7" t="s">
        <v>15</v>
      </c>
      <c r="C7" t="s">
        <v>40</v>
      </c>
      <c r="D7" s="7">
        <f>Graphite_format!F85</f>
        <v>500</v>
      </c>
      <c r="E7" s="7">
        <f t="shared" si="0"/>
        <v>500</v>
      </c>
      <c r="F7" s="7">
        <f t="shared" si="9"/>
        <v>500</v>
      </c>
      <c r="G7" s="7">
        <f t="shared" si="1"/>
        <v>500</v>
      </c>
      <c r="H7" s="7">
        <f t="shared" si="9"/>
        <v>500</v>
      </c>
      <c r="I7" s="7">
        <f t="shared" si="2"/>
        <v>500</v>
      </c>
      <c r="J7" s="7">
        <f t="shared" ref="J7" si="35">I7</f>
        <v>500</v>
      </c>
      <c r="K7" s="7">
        <f t="shared" si="3"/>
        <v>500</v>
      </c>
      <c r="L7" s="7">
        <f t="shared" ref="L7" si="36">K7</f>
        <v>500</v>
      </c>
      <c r="M7" s="7">
        <f t="shared" si="4"/>
        <v>500</v>
      </c>
      <c r="N7" s="7">
        <f t="shared" ref="N7" si="37">M7</f>
        <v>500</v>
      </c>
      <c r="O7" s="7">
        <f t="shared" si="5"/>
        <v>500</v>
      </c>
      <c r="P7" s="7">
        <f t="shared" ref="P7" si="38">O7</f>
        <v>500</v>
      </c>
      <c r="Q7" s="7">
        <f t="shared" si="6"/>
        <v>500</v>
      </c>
      <c r="R7" s="7">
        <f t="shared" ref="R7" si="39">Q7</f>
        <v>500</v>
      </c>
      <c r="S7" s="7">
        <f t="shared" si="7"/>
        <v>500</v>
      </c>
      <c r="T7" s="7">
        <f t="shared" ref="T7" si="40">S7</f>
        <v>500</v>
      </c>
      <c r="U7" s="7">
        <f t="shared" si="16"/>
        <v>500</v>
      </c>
      <c r="V7" s="7">
        <f t="shared" si="16"/>
        <v>500</v>
      </c>
      <c r="W7" s="7">
        <f t="shared" si="16"/>
        <v>500</v>
      </c>
    </row>
    <row r="8" spans="1:23">
      <c r="A8" t="s">
        <v>67</v>
      </c>
      <c r="B8" t="s">
        <v>15</v>
      </c>
      <c r="C8" t="s">
        <v>40</v>
      </c>
      <c r="D8">
        <f>Graphite_format!F88</f>
        <v>500</v>
      </c>
      <c r="E8" s="7">
        <f t="shared" ref="E8:E29" si="41">D8</f>
        <v>500</v>
      </c>
      <c r="F8" s="7">
        <f t="shared" si="9"/>
        <v>500</v>
      </c>
      <c r="G8" s="7">
        <f t="shared" ref="G8:G29" si="42">E8</f>
        <v>500</v>
      </c>
      <c r="H8" s="7">
        <f t="shared" si="9"/>
        <v>500</v>
      </c>
      <c r="I8" s="7">
        <f t="shared" ref="I8:I29" si="43">G8</f>
        <v>500</v>
      </c>
      <c r="J8" s="7">
        <f t="shared" ref="J8" si="44">I8</f>
        <v>500</v>
      </c>
      <c r="K8" s="7">
        <f t="shared" ref="K8:K29" si="45">I8</f>
        <v>500</v>
      </c>
      <c r="L8" s="7">
        <f t="shared" ref="L8" si="46">K8</f>
        <v>500</v>
      </c>
      <c r="M8" s="7">
        <f t="shared" ref="M8:M29" si="47">K8</f>
        <v>500</v>
      </c>
      <c r="N8" s="7">
        <f t="shared" ref="N8" si="48">M8</f>
        <v>500</v>
      </c>
      <c r="O8" s="7">
        <f t="shared" ref="O8:O29" si="49">M8</f>
        <v>500</v>
      </c>
      <c r="P8" s="7">
        <f t="shared" ref="P8" si="50">O8</f>
        <v>500</v>
      </c>
      <c r="Q8" s="7">
        <f t="shared" ref="Q8:Q29" si="51">O8</f>
        <v>500</v>
      </c>
      <c r="R8" s="7">
        <f t="shared" ref="R8" si="52">Q8</f>
        <v>500</v>
      </c>
      <c r="S8" s="7">
        <f t="shared" ref="S8:S29" si="53">Q8</f>
        <v>500</v>
      </c>
      <c r="T8" s="7">
        <f t="shared" ref="T8" si="54">S8</f>
        <v>500</v>
      </c>
      <c r="U8" s="7">
        <f t="shared" ref="U8:W29" si="55">S8</f>
        <v>500</v>
      </c>
      <c r="V8" s="7">
        <f t="shared" si="55"/>
        <v>500</v>
      </c>
      <c r="W8" s="7">
        <f t="shared" si="55"/>
        <v>500</v>
      </c>
    </row>
    <row r="9" spans="1:23">
      <c r="A9" t="s">
        <v>68</v>
      </c>
      <c r="B9" t="s">
        <v>15</v>
      </c>
      <c r="C9" t="s">
        <v>40</v>
      </c>
      <c r="D9">
        <f>Graphite_format!F91</f>
        <v>700</v>
      </c>
      <c r="E9" s="7">
        <f t="shared" si="41"/>
        <v>700</v>
      </c>
      <c r="F9" s="7">
        <f t="shared" si="9"/>
        <v>700</v>
      </c>
      <c r="G9" s="7">
        <f t="shared" si="42"/>
        <v>700</v>
      </c>
      <c r="H9" s="7">
        <f t="shared" si="9"/>
        <v>700</v>
      </c>
      <c r="I9" s="7">
        <f t="shared" si="43"/>
        <v>700</v>
      </c>
      <c r="J9" s="7">
        <f t="shared" ref="J9" si="56">I9</f>
        <v>700</v>
      </c>
      <c r="K9" s="7">
        <f t="shared" si="45"/>
        <v>700</v>
      </c>
      <c r="L9" s="7">
        <f t="shared" ref="L9" si="57">K9</f>
        <v>700</v>
      </c>
      <c r="M9" s="7">
        <f t="shared" si="47"/>
        <v>700</v>
      </c>
      <c r="N9" s="7">
        <f t="shared" ref="N9" si="58">M9</f>
        <v>700</v>
      </c>
      <c r="O9" s="7">
        <f t="shared" si="49"/>
        <v>700</v>
      </c>
      <c r="P9" s="7">
        <f t="shared" ref="P9" si="59">O9</f>
        <v>700</v>
      </c>
      <c r="Q9" s="7">
        <f t="shared" si="51"/>
        <v>700</v>
      </c>
      <c r="R9" s="7">
        <f t="shared" ref="R9" si="60">Q9</f>
        <v>700</v>
      </c>
      <c r="S9" s="7">
        <f t="shared" si="53"/>
        <v>700</v>
      </c>
      <c r="T9" s="7">
        <f t="shared" ref="T9" si="61">S9</f>
        <v>700</v>
      </c>
      <c r="U9" s="7">
        <f t="shared" si="55"/>
        <v>700</v>
      </c>
      <c r="V9" s="7">
        <f t="shared" si="55"/>
        <v>700</v>
      </c>
      <c r="W9" s="7">
        <f t="shared" si="55"/>
        <v>700</v>
      </c>
    </row>
    <row r="10" spans="1:23">
      <c r="A10" t="s">
        <v>71</v>
      </c>
      <c r="B10" t="s">
        <v>15</v>
      </c>
      <c r="C10" t="s">
        <v>40</v>
      </c>
      <c r="D10">
        <f>Graphite_format!F113</f>
        <v>784</v>
      </c>
      <c r="E10" s="7">
        <f t="shared" si="41"/>
        <v>784</v>
      </c>
      <c r="F10" s="7">
        <f t="shared" si="9"/>
        <v>784</v>
      </c>
      <c r="G10" s="7">
        <f t="shared" si="42"/>
        <v>784</v>
      </c>
      <c r="H10" s="7">
        <f t="shared" si="9"/>
        <v>784</v>
      </c>
      <c r="I10" s="7">
        <f t="shared" si="43"/>
        <v>784</v>
      </c>
      <c r="J10" s="7">
        <f t="shared" ref="J10" si="62">I10</f>
        <v>784</v>
      </c>
      <c r="K10" s="7">
        <f t="shared" si="45"/>
        <v>784</v>
      </c>
      <c r="L10" s="7">
        <f t="shared" ref="L10" si="63">K10</f>
        <v>784</v>
      </c>
      <c r="M10" s="7">
        <f t="shared" si="47"/>
        <v>784</v>
      </c>
      <c r="N10" s="7">
        <f t="shared" ref="N10" si="64">M10</f>
        <v>784</v>
      </c>
      <c r="O10" s="7">
        <f t="shared" si="49"/>
        <v>784</v>
      </c>
      <c r="P10" s="7">
        <f t="shared" ref="P10" si="65">O10</f>
        <v>784</v>
      </c>
      <c r="Q10" s="7">
        <f t="shared" si="51"/>
        <v>784</v>
      </c>
      <c r="R10" s="7">
        <f t="shared" ref="R10" si="66">Q10</f>
        <v>784</v>
      </c>
      <c r="S10" s="7">
        <f t="shared" si="53"/>
        <v>784</v>
      </c>
      <c r="T10" s="7">
        <f t="shared" ref="T10" si="67">S10</f>
        <v>784</v>
      </c>
      <c r="U10" s="7">
        <f t="shared" si="55"/>
        <v>784</v>
      </c>
      <c r="V10" s="7">
        <f t="shared" si="55"/>
        <v>784</v>
      </c>
      <c r="W10" s="7">
        <f t="shared" si="55"/>
        <v>784</v>
      </c>
    </row>
    <row r="11" spans="1:23">
      <c r="A11" t="s">
        <v>72</v>
      </c>
      <c r="B11" t="s">
        <v>15</v>
      </c>
      <c r="C11" t="s">
        <v>40</v>
      </c>
      <c r="D11">
        <f>Graphite_format!F116</f>
        <v>1477</v>
      </c>
      <c r="E11" s="7">
        <f t="shared" si="41"/>
        <v>1477</v>
      </c>
      <c r="F11" s="7">
        <f t="shared" si="9"/>
        <v>1477</v>
      </c>
      <c r="G11" s="7">
        <f t="shared" si="42"/>
        <v>1477</v>
      </c>
      <c r="H11" s="7">
        <f t="shared" si="9"/>
        <v>1477</v>
      </c>
      <c r="I11" s="7">
        <f t="shared" si="43"/>
        <v>1477</v>
      </c>
      <c r="J11" s="7">
        <f t="shared" ref="J11" si="68">I11</f>
        <v>1477</v>
      </c>
      <c r="K11" s="7">
        <f t="shared" si="45"/>
        <v>1477</v>
      </c>
      <c r="L11" s="7">
        <f t="shared" ref="L11" si="69">K11</f>
        <v>1477</v>
      </c>
      <c r="M11" s="7">
        <f t="shared" si="47"/>
        <v>1477</v>
      </c>
      <c r="N11" s="7">
        <f t="shared" ref="N11" si="70">M11</f>
        <v>1477</v>
      </c>
      <c r="O11" s="7">
        <f t="shared" si="49"/>
        <v>1477</v>
      </c>
      <c r="P11" s="7">
        <f t="shared" ref="P11" si="71">O11</f>
        <v>1477</v>
      </c>
      <c r="Q11" s="7">
        <f t="shared" si="51"/>
        <v>1477</v>
      </c>
      <c r="R11" s="7">
        <f t="shared" ref="R11" si="72">Q11</f>
        <v>1477</v>
      </c>
      <c r="S11" s="7">
        <f t="shared" si="53"/>
        <v>1477</v>
      </c>
      <c r="T11" s="7">
        <f t="shared" ref="T11" si="73">S11</f>
        <v>1477</v>
      </c>
      <c r="U11" s="7">
        <f t="shared" si="55"/>
        <v>1477</v>
      </c>
      <c r="V11" s="7">
        <f t="shared" si="55"/>
        <v>1477</v>
      </c>
      <c r="W11" s="7">
        <f t="shared" si="55"/>
        <v>1477</v>
      </c>
    </row>
    <row r="12" spans="1:23">
      <c r="A12" t="s">
        <v>73</v>
      </c>
      <c r="B12" t="s">
        <v>15</v>
      </c>
      <c r="C12" t="s">
        <v>40</v>
      </c>
      <c r="D12" s="40">
        <f>Graphite_format!F154</f>
        <v>600</v>
      </c>
      <c r="E12" s="7">
        <f t="shared" si="41"/>
        <v>600</v>
      </c>
      <c r="F12" s="7">
        <f t="shared" si="9"/>
        <v>600</v>
      </c>
      <c r="G12" s="7">
        <f t="shared" si="42"/>
        <v>600</v>
      </c>
      <c r="H12" s="7">
        <f t="shared" si="9"/>
        <v>600</v>
      </c>
      <c r="I12" s="7">
        <f t="shared" si="43"/>
        <v>600</v>
      </c>
      <c r="J12" s="7">
        <f t="shared" ref="J12" si="74">I12</f>
        <v>600</v>
      </c>
      <c r="K12" s="7">
        <f t="shared" si="45"/>
        <v>600</v>
      </c>
      <c r="L12" s="7">
        <f t="shared" ref="L12" si="75">K12</f>
        <v>600</v>
      </c>
      <c r="M12" s="7">
        <f t="shared" si="47"/>
        <v>600</v>
      </c>
      <c r="N12" s="7">
        <f t="shared" ref="N12" si="76">M12</f>
        <v>600</v>
      </c>
      <c r="O12" s="7">
        <f t="shared" si="49"/>
        <v>600</v>
      </c>
      <c r="P12" s="7">
        <f t="shared" ref="P12" si="77">O12</f>
        <v>600</v>
      </c>
      <c r="Q12" s="7">
        <f t="shared" si="51"/>
        <v>600</v>
      </c>
      <c r="R12" s="7">
        <f t="shared" ref="R12" si="78">Q12</f>
        <v>600</v>
      </c>
      <c r="S12" s="7">
        <f t="shared" si="53"/>
        <v>600</v>
      </c>
      <c r="T12" s="7">
        <f t="shared" ref="T12" si="79">S12</f>
        <v>600</v>
      </c>
      <c r="U12" s="7">
        <f t="shared" si="55"/>
        <v>600</v>
      </c>
      <c r="V12" s="7">
        <f t="shared" si="55"/>
        <v>600</v>
      </c>
      <c r="W12" s="7">
        <f t="shared" si="55"/>
        <v>600</v>
      </c>
    </row>
    <row r="13" spans="1:23">
      <c r="A13" t="s">
        <v>75</v>
      </c>
      <c r="B13" t="s">
        <v>15</v>
      </c>
      <c r="C13" t="s">
        <v>40</v>
      </c>
      <c r="D13" s="40">
        <f>Graphite_format!F157</f>
        <v>599</v>
      </c>
      <c r="E13" s="7">
        <f t="shared" si="41"/>
        <v>599</v>
      </c>
      <c r="F13" s="7">
        <f t="shared" si="9"/>
        <v>599</v>
      </c>
      <c r="G13" s="7">
        <f t="shared" si="42"/>
        <v>599</v>
      </c>
      <c r="H13" s="7">
        <f t="shared" si="9"/>
        <v>599</v>
      </c>
      <c r="I13" s="7">
        <f t="shared" si="43"/>
        <v>599</v>
      </c>
      <c r="J13" s="7">
        <f t="shared" ref="J13" si="80">I13</f>
        <v>599</v>
      </c>
      <c r="K13" s="7">
        <f t="shared" si="45"/>
        <v>599</v>
      </c>
      <c r="L13" s="7">
        <f t="shared" ref="L13" si="81">K13</f>
        <v>599</v>
      </c>
      <c r="M13" s="7">
        <f t="shared" si="47"/>
        <v>599</v>
      </c>
      <c r="N13" s="7">
        <f t="shared" ref="N13" si="82">M13</f>
        <v>599</v>
      </c>
      <c r="O13" s="7">
        <f t="shared" si="49"/>
        <v>599</v>
      </c>
      <c r="P13" s="7">
        <f t="shared" ref="P13" si="83">O13</f>
        <v>599</v>
      </c>
      <c r="Q13" s="7">
        <f t="shared" si="51"/>
        <v>599</v>
      </c>
      <c r="R13" s="7">
        <f t="shared" ref="R13" si="84">Q13</f>
        <v>599</v>
      </c>
      <c r="S13" s="7">
        <f t="shared" si="53"/>
        <v>599</v>
      </c>
      <c r="T13" s="7">
        <f t="shared" ref="T13" si="85">S13</f>
        <v>599</v>
      </c>
      <c r="U13" s="7">
        <f t="shared" si="55"/>
        <v>599</v>
      </c>
      <c r="V13" s="7">
        <f t="shared" si="55"/>
        <v>599</v>
      </c>
      <c r="W13" s="7">
        <f t="shared" si="55"/>
        <v>599</v>
      </c>
    </row>
    <row r="14" spans="1:23">
      <c r="A14" t="s">
        <v>79</v>
      </c>
      <c r="B14" t="s">
        <v>15</v>
      </c>
      <c r="C14" t="s">
        <v>40</v>
      </c>
      <c r="D14">
        <f>Graphite_format!F160</f>
        <v>58.3</v>
      </c>
      <c r="E14" s="7">
        <f t="shared" si="41"/>
        <v>58.3</v>
      </c>
      <c r="F14" s="7">
        <f t="shared" si="9"/>
        <v>58.3</v>
      </c>
      <c r="G14" s="7">
        <f t="shared" si="42"/>
        <v>58.3</v>
      </c>
      <c r="H14" s="7">
        <f t="shared" si="9"/>
        <v>58.3</v>
      </c>
      <c r="I14" s="7">
        <f t="shared" si="43"/>
        <v>58.3</v>
      </c>
      <c r="J14" s="7">
        <f t="shared" ref="J14" si="86">I14</f>
        <v>58.3</v>
      </c>
      <c r="K14" s="7">
        <f t="shared" si="45"/>
        <v>58.3</v>
      </c>
      <c r="L14" s="7">
        <f t="shared" ref="L14" si="87">K14</f>
        <v>58.3</v>
      </c>
      <c r="M14" s="7">
        <f t="shared" si="47"/>
        <v>58.3</v>
      </c>
      <c r="N14" s="7">
        <f t="shared" ref="N14" si="88">M14</f>
        <v>58.3</v>
      </c>
      <c r="O14" s="7">
        <f t="shared" si="49"/>
        <v>58.3</v>
      </c>
      <c r="P14" s="7">
        <f t="shared" ref="P14" si="89">O14</f>
        <v>58.3</v>
      </c>
      <c r="Q14" s="7">
        <f t="shared" si="51"/>
        <v>58.3</v>
      </c>
      <c r="R14" s="7">
        <f t="shared" ref="R14" si="90">Q14</f>
        <v>58.3</v>
      </c>
      <c r="S14" s="7">
        <f t="shared" si="53"/>
        <v>58.3</v>
      </c>
      <c r="T14" s="7">
        <f t="shared" ref="T14" si="91">S14</f>
        <v>58.3</v>
      </c>
      <c r="U14" s="7">
        <f t="shared" si="55"/>
        <v>58.3</v>
      </c>
      <c r="V14" s="7">
        <f t="shared" si="55"/>
        <v>58.3</v>
      </c>
      <c r="W14" s="7">
        <f t="shared" si="55"/>
        <v>58.3</v>
      </c>
    </row>
    <row r="15" spans="1:23">
      <c r="A15" t="s">
        <v>80</v>
      </c>
      <c r="B15" t="s">
        <v>15</v>
      </c>
      <c r="C15" t="s">
        <v>40</v>
      </c>
      <c r="D15">
        <f>Graphite_format!F163</f>
        <v>298</v>
      </c>
      <c r="E15" s="7">
        <f t="shared" si="41"/>
        <v>298</v>
      </c>
      <c r="F15" s="7">
        <f t="shared" si="9"/>
        <v>298</v>
      </c>
      <c r="G15" s="7">
        <f t="shared" si="42"/>
        <v>298</v>
      </c>
      <c r="H15" s="7">
        <f t="shared" si="9"/>
        <v>298</v>
      </c>
      <c r="I15" s="7">
        <f t="shared" si="43"/>
        <v>298</v>
      </c>
      <c r="J15" s="7">
        <f t="shared" ref="J15" si="92">I15</f>
        <v>298</v>
      </c>
      <c r="K15" s="7">
        <f t="shared" si="45"/>
        <v>298</v>
      </c>
      <c r="L15" s="7">
        <f t="shared" ref="L15" si="93">K15</f>
        <v>298</v>
      </c>
      <c r="M15" s="7">
        <f t="shared" si="47"/>
        <v>298</v>
      </c>
      <c r="N15" s="7">
        <f t="shared" ref="N15" si="94">M15</f>
        <v>298</v>
      </c>
      <c r="O15" s="7">
        <f t="shared" si="49"/>
        <v>298</v>
      </c>
      <c r="P15" s="7">
        <f t="shared" ref="P15" si="95">O15</f>
        <v>298</v>
      </c>
      <c r="Q15" s="7">
        <f t="shared" si="51"/>
        <v>298</v>
      </c>
      <c r="R15" s="7">
        <f t="shared" ref="R15" si="96">Q15</f>
        <v>298</v>
      </c>
      <c r="S15" s="7">
        <f t="shared" si="53"/>
        <v>298</v>
      </c>
      <c r="T15" s="7">
        <f t="shared" ref="T15" si="97">S15</f>
        <v>298</v>
      </c>
      <c r="U15" s="7">
        <f t="shared" si="55"/>
        <v>298</v>
      </c>
      <c r="V15" s="7">
        <f t="shared" si="55"/>
        <v>298</v>
      </c>
      <c r="W15" s="7">
        <f t="shared" si="55"/>
        <v>298</v>
      </c>
    </row>
    <row r="16" spans="1:23">
      <c r="A16" t="s">
        <v>81</v>
      </c>
      <c r="B16" t="s">
        <v>15</v>
      </c>
      <c r="C16" t="s">
        <v>40</v>
      </c>
      <c r="D16">
        <f>Graphite_format!F166</f>
        <v>2550</v>
      </c>
      <c r="E16" s="7">
        <f t="shared" si="41"/>
        <v>2550</v>
      </c>
      <c r="F16" s="7">
        <f t="shared" si="9"/>
        <v>2550</v>
      </c>
      <c r="G16" s="7">
        <f t="shared" si="42"/>
        <v>2550</v>
      </c>
      <c r="H16" s="7">
        <f t="shared" si="9"/>
        <v>2550</v>
      </c>
      <c r="I16" s="7">
        <f t="shared" si="43"/>
        <v>2550</v>
      </c>
      <c r="J16" s="7">
        <f t="shared" ref="J16" si="98">I16</f>
        <v>2550</v>
      </c>
      <c r="K16" s="7">
        <f t="shared" si="45"/>
        <v>2550</v>
      </c>
      <c r="L16" s="7">
        <f t="shared" ref="L16" si="99">K16</f>
        <v>2550</v>
      </c>
      <c r="M16" s="7">
        <f t="shared" si="47"/>
        <v>2550</v>
      </c>
      <c r="N16" s="7">
        <f t="shared" ref="N16" si="100">M16</f>
        <v>2550</v>
      </c>
      <c r="O16" s="7">
        <f t="shared" si="49"/>
        <v>2550</v>
      </c>
      <c r="P16" s="7">
        <f t="shared" ref="P16" si="101">O16</f>
        <v>2550</v>
      </c>
      <c r="Q16" s="7">
        <f t="shared" si="51"/>
        <v>2550</v>
      </c>
      <c r="R16" s="7">
        <f t="shared" ref="R16" si="102">Q16</f>
        <v>2550</v>
      </c>
      <c r="S16" s="7">
        <f t="shared" si="53"/>
        <v>2550</v>
      </c>
      <c r="T16" s="7">
        <f t="shared" ref="T16" si="103">S16</f>
        <v>2550</v>
      </c>
      <c r="U16" s="7">
        <f t="shared" si="55"/>
        <v>2550</v>
      </c>
      <c r="V16" s="7">
        <f t="shared" si="55"/>
        <v>2550</v>
      </c>
      <c r="W16" s="7">
        <f t="shared" si="55"/>
        <v>2550</v>
      </c>
    </row>
    <row r="17" spans="1:23">
      <c r="A17" t="s">
        <v>86</v>
      </c>
      <c r="B17" t="s">
        <v>15</v>
      </c>
      <c r="C17" t="s">
        <v>40</v>
      </c>
      <c r="D17">
        <f>Graphite_format!F169</f>
        <v>118.5</v>
      </c>
      <c r="E17" s="7">
        <f t="shared" si="41"/>
        <v>118.5</v>
      </c>
      <c r="F17" s="7">
        <f t="shared" si="9"/>
        <v>118.5</v>
      </c>
      <c r="G17" s="7">
        <f t="shared" si="42"/>
        <v>118.5</v>
      </c>
      <c r="H17" s="7">
        <f t="shared" si="9"/>
        <v>118.5</v>
      </c>
      <c r="I17" s="7">
        <f t="shared" si="43"/>
        <v>118.5</v>
      </c>
      <c r="J17" s="7">
        <f t="shared" ref="J17" si="104">I17</f>
        <v>118.5</v>
      </c>
      <c r="K17" s="7">
        <f t="shared" si="45"/>
        <v>118.5</v>
      </c>
      <c r="L17" s="7">
        <f t="shared" ref="L17" si="105">K17</f>
        <v>118.5</v>
      </c>
      <c r="M17" s="7">
        <f t="shared" si="47"/>
        <v>118.5</v>
      </c>
      <c r="N17" s="7">
        <f t="shared" ref="N17" si="106">M17</f>
        <v>118.5</v>
      </c>
      <c r="O17" s="7">
        <f t="shared" si="49"/>
        <v>118.5</v>
      </c>
      <c r="P17" s="7">
        <f t="shared" ref="P17" si="107">O17</f>
        <v>118.5</v>
      </c>
      <c r="Q17" s="7">
        <f t="shared" si="51"/>
        <v>118.5</v>
      </c>
      <c r="R17" s="7">
        <f t="shared" ref="R17" si="108">Q17</f>
        <v>118.5</v>
      </c>
      <c r="S17" s="7">
        <f t="shared" si="53"/>
        <v>118.5</v>
      </c>
      <c r="T17" s="7">
        <f t="shared" ref="T17" si="109">S17</f>
        <v>118.5</v>
      </c>
      <c r="U17" s="7">
        <f t="shared" si="55"/>
        <v>118.5</v>
      </c>
      <c r="V17" s="7">
        <f t="shared" si="55"/>
        <v>118.5</v>
      </c>
      <c r="W17" s="7">
        <f t="shared" si="55"/>
        <v>118.5</v>
      </c>
    </row>
    <row r="18" spans="1:23">
      <c r="A18" t="s">
        <v>87</v>
      </c>
      <c r="B18" t="s">
        <v>15</v>
      </c>
      <c r="C18" t="s">
        <v>40</v>
      </c>
      <c r="D18" s="7">
        <f>Graphite_format!F190</f>
        <v>91.7</v>
      </c>
      <c r="E18" s="7">
        <f t="shared" si="41"/>
        <v>91.7</v>
      </c>
      <c r="F18" s="7">
        <f t="shared" si="9"/>
        <v>91.7</v>
      </c>
      <c r="G18" s="7">
        <f t="shared" si="42"/>
        <v>91.7</v>
      </c>
      <c r="H18" s="7">
        <f t="shared" si="9"/>
        <v>91.7</v>
      </c>
      <c r="I18" s="7">
        <f t="shared" si="43"/>
        <v>91.7</v>
      </c>
      <c r="J18" s="7">
        <f t="shared" ref="J18" si="110">I18</f>
        <v>91.7</v>
      </c>
      <c r="K18" s="7">
        <f t="shared" si="45"/>
        <v>91.7</v>
      </c>
      <c r="L18" s="7">
        <f t="shared" ref="L18" si="111">K18</f>
        <v>91.7</v>
      </c>
      <c r="M18" s="7">
        <f t="shared" si="47"/>
        <v>91.7</v>
      </c>
      <c r="N18" s="7">
        <f t="shared" ref="N18" si="112">M18</f>
        <v>91.7</v>
      </c>
      <c r="O18" s="7">
        <f t="shared" si="49"/>
        <v>91.7</v>
      </c>
      <c r="P18" s="7">
        <f t="shared" ref="P18" si="113">O18</f>
        <v>91.7</v>
      </c>
      <c r="Q18" s="7">
        <f t="shared" si="51"/>
        <v>91.7</v>
      </c>
      <c r="R18" s="7">
        <f t="shared" ref="R18" si="114">Q18</f>
        <v>91.7</v>
      </c>
      <c r="S18" s="7">
        <f t="shared" si="53"/>
        <v>91.7</v>
      </c>
      <c r="T18" s="7">
        <f t="shared" ref="T18" si="115">S18</f>
        <v>91.7</v>
      </c>
      <c r="U18" s="7">
        <f t="shared" si="55"/>
        <v>91.7</v>
      </c>
      <c r="V18" s="7">
        <f t="shared" si="55"/>
        <v>91.7</v>
      </c>
      <c r="W18" s="7">
        <f t="shared" si="55"/>
        <v>91.7</v>
      </c>
    </row>
    <row r="19" spans="1:23">
      <c r="A19" t="s">
        <v>89</v>
      </c>
      <c r="B19" t="s">
        <v>15</v>
      </c>
      <c r="C19" t="s">
        <v>40</v>
      </c>
      <c r="D19" s="7">
        <f>Graphite_format!F201</f>
        <v>73.81</v>
      </c>
      <c r="E19" s="7">
        <f t="shared" si="41"/>
        <v>73.81</v>
      </c>
      <c r="F19" s="7">
        <f t="shared" si="9"/>
        <v>73.81</v>
      </c>
      <c r="G19" s="7">
        <f t="shared" si="42"/>
        <v>73.81</v>
      </c>
      <c r="H19" s="7">
        <f t="shared" si="9"/>
        <v>73.81</v>
      </c>
      <c r="I19" s="7">
        <f t="shared" si="43"/>
        <v>73.81</v>
      </c>
      <c r="J19" s="7">
        <f t="shared" ref="J19" si="116">I19</f>
        <v>73.81</v>
      </c>
      <c r="K19" s="7">
        <f t="shared" si="45"/>
        <v>73.81</v>
      </c>
      <c r="L19" s="7">
        <f t="shared" ref="L19" si="117">K19</f>
        <v>73.81</v>
      </c>
      <c r="M19" s="7">
        <f t="shared" si="47"/>
        <v>73.81</v>
      </c>
      <c r="N19" s="7">
        <f t="shared" ref="N19" si="118">M19</f>
        <v>73.81</v>
      </c>
      <c r="O19" s="7">
        <f t="shared" si="49"/>
        <v>73.81</v>
      </c>
      <c r="P19" s="7">
        <f t="shared" ref="P19" si="119">O19</f>
        <v>73.81</v>
      </c>
      <c r="Q19" s="7">
        <f t="shared" si="51"/>
        <v>73.81</v>
      </c>
      <c r="R19" s="7">
        <f t="shared" ref="R19" si="120">Q19</f>
        <v>73.81</v>
      </c>
      <c r="S19" s="7">
        <f t="shared" si="53"/>
        <v>73.81</v>
      </c>
      <c r="T19" s="7">
        <f t="shared" ref="T19" si="121">S19</f>
        <v>73.81</v>
      </c>
      <c r="U19" s="7">
        <f t="shared" si="55"/>
        <v>73.81</v>
      </c>
      <c r="V19" s="7">
        <f t="shared" si="55"/>
        <v>73.81</v>
      </c>
      <c r="W19" s="7">
        <f t="shared" si="55"/>
        <v>73.81</v>
      </c>
    </row>
    <row r="20" spans="1:23">
      <c r="A20" t="s">
        <v>92</v>
      </c>
      <c r="B20" t="s">
        <v>15</v>
      </c>
      <c r="C20" t="s">
        <v>40</v>
      </c>
      <c r="D20" s="7">
        <f>Graphite_format!F212</f>
        <v>32.31</v>
      </c>
      <c r="E20" s="7">
        <f t="shared" si="41"/>
        <v>32.31</v>
      </c>
      <c r="F20" s="7">
        <f t="shared" si="9"/>
        <v>32.31</v>
      </c>
      <c r="G20" s="7">
        <f t="shared" si="42"/>
        <v>32.31</v>
      </c>
      <c r="H20" s="7">
        <f t="shared" si="9"/>
        <v>32.31</v>
      </c>
      <c r="I20" s="7">
        <f t="shared" si="43"/>
        <v>32.31</v>
      </c>
      <c r="J20" s="7">
        <f t="shared" ref="J20" si="122">I20</f>
        <v>32.31</v>
      </c>
      <c r="K20" s="7">
        <f t="shared" si="45"/>
        <v>32.31</v>
      </c>
      <c r="L20" s="7">
        <f t="shared" ref="L20" si="123">K20</f>
        <v>32.31</v>
      </c>
      <c r="M20" s="7">
        <f t="shared" si="47"/>
        <v>32.31</v>
      </c>
      <c r="N20" s="7">
        <f t="shared" ref="N20" si="124">M20</f>
        <v>32.31</v>
      </c>
      <c r="O20" s="7">
        <f t="shared" si="49"/>
        <v>32.31</v>
      </c>
      <c r="P20" s="7">
        <f t="shared" ref="P20" si="125">O20</f>
        <v>32.31</v>
      </c>
      <c r="Q20" s="7">
        <f t="shared" si="51"/>
        <v>32.31</v>
      </c>
      <c r="R20" s="7">
        <f t="shared" ref="R20" si="126">Q20</f>
        <v>32.31</v>
      </c>
      <c r="S20" s="7">
        <f t="shared" si="53"/>
        <v>32.31</v>
      </c>
      <c r="T20" s="7">
        <f t="shared" ref="T20" si="127">S20</f>
        <v>32.31</v>
      </c>
      <c r="U20" s="7">
        <f t="shared" si="55"/>
        <v>32.31</v>
      </c>
      <c r="V20" s="7">
        <f t="shared" si="55"/>
        <v>32.31</v>
      </c>
      <c r="W20" s="7">
        <f t="shared" si="55"/>
        <v>32.31</v>
      </c>
    </row>
    <row r="21" spans="1:23">
      <c r="A21" t="s">
        <v>95</v>
      </c>
      <c r="B21" t="s">
        <v>15</v>
      </c>
      <c r="C21" t="s">
        <v>40</v>
      </c>
      <c r="D21" s="7">
        <f>Graphite_format!F223</f>
        <v>100.9</v>
      </c>
      <c r="E21" s="7">
        <f t="shared" si="41"/>
        <v>100.9</v>
      </c>
      <c r="F21" s="7">
        <f t="shared" si="9"/>
        <v>100.9</v>
      </c>
      <c r="G21" s="7">
        <f t="shared" si="42"/>
        <v>100.9</v>
      </c>
      <c r="H21" s="7">
        <f t="shared" si="9"/>
        <v>100.9</v>
      </c>
      <c r="I21" s="7">
        <f t="shared" si="43"/>
        <v>100.9</v>
      </c>
      <c r="J21" s="7">
        <f t="shared" ref="J21" si="128">I21</f>
        <v>100.9</v>
      </c>
      <c r="K21" s="7">
        <f t="shared" si="45"/>
        <v>100.9</v>
      </c>
      <c r="L21" s="7">
        <f t="shared" ref="L21" si="129">K21</f>
        <v>100.9</v>
      </c>
      <c r="M21" s="7">
        <f t="shared" si="47"/>
        <v>100.9</v>
      </c>
      <c r="N21" s="7">
        <f t="shared" ref="N21" si="130">M21</f>
        <v>100.9</v>
      </c>
      <c r="O21" s="7">
        <f t="shared" si="49"/>
        <v>100.9</v>
      </c>
      <c r="P21" s="7">
        <f t="shared" ref="P21" si="131">O21</f>
        <v>100.9</v>
      </c>
      <c r="Q21" s="7">
        <f t="shared" si="51"/>
        <v>100.9</v>
      </c>
      <c r="R21" s="7">
        <f t="shared" ref="R21" si="132">Q21</f>
        <v>100.9</v>
      </c>
      <c r="S21" s="7">
        <f t="shared" si="53"/>
        <v>100.9</v>
      </c>
      <c r="T21" s="7">
        <f t="shared" ref="T21" si="133">S21</f>
        <v>100.9</v>
      </c>
      <c r="U21" s="7">
        <f t="shared" si="55"/>
        <v>100.9</v>
      </c>
      <c r="V21" s="7">
        <f t="shared" si="55"/>
        <v>100.9</v>
      </c>
      <c r="W21" s="7">
        <f t="shared" si="55"/>
        <v>100.9</v>
      </c>
    </row>
    <row r="22" spans="1:23">
      <c r="A22" t="s">
        <v>97</v>
      </c>
      <c r="B22" t="s">
        <v>15</v>
      </c>
      <c r="C22" t="s">
        <v>40</v>
      </c>
      <c r="D22" s="7">
        <f>Graphite_format!F236</f>
        <v>76.11</v>
      </c>
      <c r="E22" s="7">
        <f t="shared" si="41"/>
        <v>76.11</v>
      </c>
      <c r="F22" s="7">
        <f t="shared" si="9"/>
        <v>76.11</v>
      </c>
      <c r="G22" s="7">
        <f t="shared" si="42"/>
        <v>76.11</v>
      </c>
      <c r="H22" s="7">
        <f t="shared" si="9"/>
        <v>76.11</v>
      </c>
      <c r="I22" s="7">
        <f t="shared" si="43"/>
        <v>76.11</v>
      </c>
      <c r="J22" s="7">
        <f t="shared" ref="J22" si="134">I22</f>
        <v>76.11</v>
      </c>
      <c r="K22" s="7">
        <f t="shared" si="45"/>
        <v>76.11</v>
      </c>
      <c r="L22" s="7">
        <f t="shared" ref="L22" si="135">K22</f>
        <v>76.11</v>
      </c>
      <c r="M22" s="7">
        <f t="shared" si="47"/>
        <v>76.11</v>
      </c>
      <c r="N22" s="7">
        <f t="shared" ref="N22" si="136">M22</f>
        <v>76.11</v>
      </c>
      <c r="O22" s="7">
        <f t="shared" si="49"/>
        <v>76.11</v>
      </c>
      <c r="P22" s="7">
        <f t="shared" ref="P22" si="137">O22</f>
        <v>76.11</v>
      </c>
      <c r="Q22" s="7">
        <f t="shared" si="51"/>
        <v>76.11</v>
      </c>
      <c r="R22" s="7">
        <f t="shared" ref="R22" si="138">Q22</f>
        <v>76.11</v>
      </c>
      <c r="S22" s="7">
        <f t="shared" si="53"/>
        <v>76.11</v>
      </c>
      <c r="T22" s="7">
        <f t="shared" ref="T22" si="139">S22</f>
        <v>76.11</v>
      </c>
      <c r="U22" s="7">
        <f t="shared" si="55"/>
        <v>76.11</v>
      </c>
      <c r="V22" s="7">
        <f t="shared" si="55"/>
        <v>76.11</v>
      </c>
      <c r="W22" s="7">
        <f t="shared" si="55"/>
        <v>76.11</v>
      </c>
    </row>
    <row r="23" spans="1:23">
      <c r="A23" t="s">
        <v>98</v>
      </c>
      <c r="B23" t="s">
        <v>15</v>
      </c>
      <c r="C23" t="s">
        <v>40</v>
      </c>
      <c r="D23" s="7">
        <f>Graphite_format!F249</f>
        <v>66.03</v>
      </c>
      <c r="E23" s="7">
        <f t="shared" si="41"/>
        <v>66.03</v>
      </c>
      <c r="F23" s="7">
        <f t="shared" si="9"/>
        <v>66.03</v>
      </c>
      <c r="G23" s="7">
        <f t="shared" si="42"/>
        <v>66.03</v>
      </c>
      <c r="H23" s="7">
        <f t="shared" si="9"/>
        <v>66.03</v>
      </c>
      <c r="I23" s="7">
        <f t="shared" si="43"/>
        <v>66.03</v>
      </c>
      <c r="J23" s="7">
        <f t="shared" ref="J23" si="140">I23</f>
        <v>66.03</v>
      </c>
      <c r="K23" s="7">
        <f t="shared" si="45"/>
        <v>66.03</v>
      </c>
      <c r="L23" s="7">
        <f t="shared" ref="L23" si="141">K23</f>
        <v>66.03</v>
      </c>
      <c r="M23" s="7">
        <f t="shared" si="47"/>
        <v>66.03</v>
      </c>
      <c r="N23" s="7">
        <f t="shared" ref="N23" si="142">M23</f>
        <v>66.03</v>
      </c>
      <c r="O23" s="7">
        <f t="shared" si="49"/>
        <v>66.03</v>
      </c>
      <c r="P23" s="7">
        <f t="shared" ref="P23" si="143">O23</f>
        <v>66.03</v>
      </c>
      <c r="Q23" s="7">
        <f t="shared" si="51"/>
        <v>66.03</v>
      </c>
      <c r="R23" s="7">
        <f t="shared" ref="R23" si="144">Q23</f>
        <v>66.03</v>
      </c>
      <c r="S23" s="7">
        <f t="shared" si="53"/>
        <v>66.03</v>
      </c>
      <c r="T23" s="7">
        <f t="shared" ref="T23" si="145">S23</f>
        <v>66.03</v>
      </c>
      <c r="U23" s="7">
        <f t="shared" si="55"/>
        <v>66.03</v>
      </c>
      <c r="V23" s="7">
        <f t="shared" si="55"/>
        <v>66.03</v>
      </c>
      <c r="W23" s="7">
        <f t="shared" si="55"/>
        <v>66.03</v>
      </c>
    </row>
    <row r="24" spans="1:23">
      <c r="A24" t="s">
        <v>99</v>
      </c>
      <c r="B24" t="s">
        <v>15</v>
      </c>
      <c r="C24" t="s">
        <v>40</v>
      </c>
      <c r="D24" s="7">
        <f>Graphite_format!F260</f>
        <v>25.1</v>
      </c>
      <c r="E24" s="7">
        <f t="shared" si="41"/>
        <v>25.1</v>
      </c>
      <c r="F24" s="7">
        <f t="shared" si="9"/>
        <v>25.1</v>
      </c>
      <c r="G24" s="7">
        <f t="shared" si="42"/>
        <v>25.1</v>
      </c>
      <c r="H24" s="7">
        <f t="shared" si="9"/>
        <v>25.1</v>
      </c>
      <c r="I24" s="7">
        <f t="shared" si="43"/>
        <v>25.1</v>
      </c>
      <c r="J24" s="7">
        <f t="shared" ref="J24" si="146">I24</f>
        <v>25.1</v>
      </c>
      <c r="K24" s="7">
        <f t="shared" si="45"/>
        <v>25.1</v>
      </c>
      <c r="L24" s="7">
        <f t="shared" ref="L24" si="147">K24</f>
        <v>25.1</v>
      </c>
      <c r="M24" s="7">
        <f t="shared" si="47"/>
        <v>25.1</v>
      </c>
      <c r="N24" s="7">
        <f t="shared" ref="N24" si="148">M24</f>
        <v>25.1</v>
      </c>
      <c r="O24" s="7">
        <f t="shared" si="49"/>
        <v>25.1</v>
      </c>
      <c r="P24" s="7">
        <f t="shared" ref="P24" si="149">O24</f>
        <v>25.1</v>
      </c>
      <c r="Q24" s="7">
        <f t="shared" si="51"/>
        <v>25.1</v>
      </c>
      <c r="R24" s="7">
        <f t="shared" ref="R24" si="150">Q24</f>
        <v>25.1</v>
      </c>
      <c r="S24" s="7">
        <f t="shared" si="53"/>
        <v>25.1</v>
      </c>
      <c r="T24" s="7">
        <f t="shared" ref="T24" si="151">S24</f>
        <v>25.1</v>
      </c>
      <c r="U24" s="7">
        <f t="shared" si="55"/>
        <v>25.1</v>
      </c>
      <c r="V24" s="7">
        <f t="shared" si="55"/>
        <v>25.1</v>
      </c>
      <c r="W24" s="7">
        <f t="shared" si="55"/>
        <v>25.1</v>
      </c>
    </row>
    <row r="25" spans="1:23">
      <c r="A25" t="s">
        <v>100</v>
      </c>
      <c r="B25" t="s">
        <v>15</v>
      </c>
      <c r="C25" t="s">
        <v>40</v>
      </c>
      <c r="D25" s="7">
        <f>Graphite_format!F273</f>
        <v>30.55</v>
      </c>
      <c r="E25" s="7">
        <f t="shared" si="41"/>
        <v>30.55</v>
      </c>
      <c r="F25" s="7">
        <f t="shared" si="9"/>
        <v>30.55</v>
      </c>
      <c r="G25" s="7">
        <f t="shared" si="42"/>
        <v>30.55</v>
      </c>
      <c r="H25" s="7">
        <f t="shared" si="9"/>
        <v>30.55</v>
      </c>
      <c r="I25" s="7">
        <f t="shared" si="43"/>
        <v>30.55</v>
      </c>
      <c r="J25" s="7">
        <f t="shared" ref="J25" si="152">I25</f>
        <v>30.55</v>
      </c>
      <c r="K25" s="7">
        <f t="shared" si="45"/>
        <v>30.55</v>
      </c>
      <c r="L25" s="7">
        <f t="shared" ref="L25" si="153">K25</f>
        <v>30.55</v>
      </c>
      <c r="M25" s="7">
        <f t="shared" si="47"/>
        <v>30.55</v>
      </c>
      <c r="N25" s="7">
        <f t="shared" ref="N25" si="154">M25</f>
        <v>30.55</v>
      </c>
      <c r="O25" s="7">
        <f t="shared" si="49"/>
        <v>30.55</v>
      </c>
      <c r="P25" s="7">
        <f t="shared" ref="P25" si="155">O25</f>
        <v>30.55</v>
      </c>
      <c r="Q25" s="7">
        <f t="shared" si="51"/>
        <v>30.55</v>
      </c>
      <c r="R25" s="7">
        <f t="shared" ref="R25" si="156">Q25</f>
        <v>30.55</v>
      </c>
      <c r="S25" s="7">
        <f t="shared" si="53"/>
        <v>30.55</v>
      </c>
      <c r="T25" s="7">
        <f t="shared" ref="T25" si="157">S25</f>
        <v>30.55</v>
      </c>
      <c r="U25" s="7">
        <f t="shared" si="55"/>
        <v>30.55</v>
      </c>
      <c r="V25" s="7">
        <f t="shared" si="55"/>
        <v>30.55</v>
      </c>
      <c r="W25" s="7">
        <f t="shared" si="55"/>
        <v>30.55</v>
      </c>
    </row>
    <row r="26" spans="1:23">
      <c r="A26" s="36" t="s">
        <v>105</v>
      </c>
      <c r="B26" t="s">
        <v>15</v>
      </c>
      <c r="C26" t="s">
        <v>106</v>
      </c>
      <c r="D26" s="7">
        <f>Graphite_format!F283</f>
        <v>5.3000000000000007</v>
      </c>
      <c r="E26" s="7">
        <f t="shared" si="41"/>
        <v>5.3000000000000007</v>
      </c>
      <c r="F26" s="7">
        <f t="shared" si="9"/>
        <v>5.3000000000000007</v>
      </c>
      <c r="G26" s="7">
        <f t="shared" si="42"/>
        <v>5.3000000000000007</v>
      </c>
      <c r="H26" s="7">
        <f t="shared" si="9"/>
        <v>5.3000000000000007</v>
      </c>
      <c r="I26" s="7">
        <f t="shared" si="43"/>
        <v>5.3000000000000007</v>
      </c>
      <c r="J26" s="7">
        <f t="shared" ref="J26" si="158">I26</f>
        <v>5.3000000000000007</v>
      </c>
      <c r="K26" s="7">
        <f t="shared" si="45"/>
        <v>5.3000000000000007</v>
      </c>
      <c r="L26" s="7">
        <f t="shared" ref="L26" si="159">K26</f>
        <v>5.3000000000000007</v>
      </c>
      <c r="M26" s="7">
        <f t="shared" si="47"/>
        <v>5.3000000000000007</v>
      </c>
      <c r="N26" s="7">
        <f t="shared" ref="N26" si="160">M26</f>
        <v>5.3000000000000007</v>
      </c>
      <c r="O26" s="7">
        <f t="shared" si="49"/>
        <v>5.3000000000000007</v>
      </c>
      <c r="P26" s="7">
        <f t="shared" ref="P26" si="161">O26</f>
        <v>5.3000000000000007</v>
      </c>
      <c r="Q26" s="7">
        <f t="shared" si="51"/>
        <v>5.3000000000000007</v>
      </c>
      <c r="R26" s="7">
        <f t="shared" ref="R26" si="162">Q26</f>
        <v>5.3000000000000007</v>
      </c>
      <c r="S26" s="7">
        <f t="shared" si="53"/>
        <v>5.3000000000000007</v>
      </c>
      <c r="T26" s="7">
        <f t="shared" ref="T26" si="163">S26</f>
        <v>5.3000000000000007</v>
      </c>
      <c r="U26" s="7">
        <f t="shared" si="55"/>
        <v>5.3000000000000007</v>
      </c>
      <c r="V26" s="7">
        <f t="shared" si="55"/>
        <v>5.3000000000000007</v>
      </c>
      <c r="W26" s="7">
        <f t="shared" si="55"/>
        <v>5.3000000000000007</v>
      </c>
    </row>
    <row r="27" spans="1:23">
      <c r="A27" s="37" t="s">
        <v>107</v>
      </c>
      <c r="B27" t="s">
        <v>15</v>
      </c>
      <c r="C27" t="s">
        <v>106</v>
      </c>
      <c r="D27" s="7">
        <f>Graphite_format!F293</f>
        <v>6.7</v>
      </c>
      <c r="E27" s="7">
        <f t="shared" si="41"/>
        <v>6.7</v>
      </c>
      <c r="F27" s="7">
        <f t="shared" si="9"/>
        <v>6.7</v>
      </c>
      <c r="G27" s="7">
        <f t="shared" si="42"/>
        <v>6.7</v>
      </c>
      <c r="H27" s="7">
        <f t="shared" si="9"/>
        <v>6.7</v>
      </c>
      <c r="I27" s="7">
        <f t="shared" si="43"/>
        <v>6.7</v>
      </c>
      <c r="J27" s="7">
        <f t="shared" ref="J27" si="164">I27</f>
        <v>6.7</v>
      </c>
      <c r="K27" s="7">
        <f t="shared" si="45"/>
        <v>6.7</v>
      </c>
      <c r="L27" s="7">
        <f t="shared" ref="L27" si="165">K27</f>
        <v>6.7</v>
      </c>
      <c r="M27" s="7">
        <f t="shared" si="47"/>
        <v>6.7</v>
      </c>
      <c r="N27" s="7">
        <f t="shared" ref="N27" si="166">M27</f>
        <v>6.7</v>
      </c>
      <c r="O27" s="7">
        <f t="shared" si="49"/>
        <v>6.7</v>
      </c>
      <c r="P27" s="7">
        <f t="shared" ref="P27" si="167">O27</f>
        <v>6.7</v>
      </c>
      <c r="Q27" s="7">
        <f t="shared" si="51"/>
        <v>6.7</v>
      </c>
      <c r="R27" s="7">
        <f t="shared" ref="R27" si="168">Q27</f>
        <v>6.7</v>
      </c>
      <c r="S27" s="7">
        <f t="shared" si="53"/>
        <v>6.7</v>
      </c>
      <c r="T27" s="7">
        <f t="shared" ref="T27" si="169">S27</f>
        <v>6.7</v>
      </c>
      <c r="U27" s="7">
        <f t="shared" si="55"/>
        <v>6.7</v>
      </c>
      <c r="V27" s="7">
        <f t="shared" si="55"/>
        <v>6.7</v>
      </c>
      <c r="W27" s="7">
        <f t="shared" si="55"/>
        <v>6.7</v>
      </c>
    </row>
    <row r="28" spans="1:23">
      <c r="A28" s="36" t="s">
        <v>108</v>
      </c>
      <c r="B28" t="s">
        <v>15</v>
      </c>
      <c r="C28" t="s">
        <v>106</v>
      </c>
      <c r="D28" s="7">
        <f>Graphite_format!F303</f>
        <v>5.3000000000000007</v>
      </c>
      <c r="E28" s="7">
        <f t="shared" si="41"/>
        <v>5.3000000000000007</v>
      </c>
      <c r="F28" s="7">
        <f t="shared" si="9"/>
        <v>5.3000000000000007</v>
      </c>
      <c r="G28" s="7">
        <f t="shared" si="42"/>
        <v>5.3000000000000007</v>
      </c>
      <c r="H28" s="7">
        <f t="shared" si="9"/>
        <v>5.3000000000000007</v>
      </c>
      <c r="I28" s="7">
        <f t="shared" si="43"/>
        <v>5.3000000000000007</v>
      </c>
      <c r="J28" s="7">
        <f t="shared" ref="J28" si="170">I28</f>
        <v>5.3000000000000007</v>
      </c>
      <c r="K28" s="7">
        <f t="shared" si="45"/>
        <v>5.3000000000000007</v>
      </c>
      <c r="L28" s="7">
        <f t="shared" ref="L28" si="171">K28</f>
        <v>5.3000000000000007</v>
      </c>
      <c r="M28" s="7">
        <f t="shared" si="47"/>
        <v>5.3000000000000007</v>
      </c>
      <c r="N28" s="7">
        <f t="shared" ref="N28" si="172">M28</f>
        <v>5.3000000000000007</v>
      </c>
      <c r="O28" s="7">
        <f t="shared" si="49"/>
        <v>5.3000000000000007</v>
      </c>
      <c r="P28" s="7">
        <f t="shared" ref="P28" si="173">O28</f>
        <v>5.3000000000000007</v>
      </c>
      <c r="Q28" s="7">
        <f t="shared" si="51"/>
        <v>5.3000000000000007</v>
      </c>
      <c r="R28" s="7">
        <f t="shared" ref="R28" si="174">Q28</f>
        <v>5.3000000000000007</v>
      </c>
      <c r="S28" s="7">
        <f t="shared" si="53"/>
        <v>5.3000000000000007</v>
      </c>
      <c r="T28" s="7">
        <f t="shared" ref="T28" si="175">S28</f>
        <v>5.3000000000000007</v>
      </c>
      <c r="U28" s="7">
        <f t="shared" si="55"/>
        <v>5.3000000000000007</v>
      </c>
      <c r="V28" s="7">
        <f t="shared" si="55"/>
        <v>5.3000000000000007</v>
      </c>
      <c r="W28" s="7">
        <f t="shared" si="55"/>
        <v>5.3000000000000007</v>
      </c>
    </row>
    <row r="29" spans="1:23">
      <c r="A29" s="36" t="s">
        <v>109</v>
      </c>
      <c r="B29" t="s">
        <v>15</v>
      </c>
      <c r="C29" t="s">
        <v>106</v>
      </c>
      <c r="D29" s="7">
        <f>Graphite_format!F313</f>
        <v>6.7</v>
      </c>
      <c r="E29" s="7">
        <f t="shared" si="41"/>
        <v>6.7</v>
      </c>
      <c r="F29" s="7">
        <f t="shared" si="9"/>
        <v>6.7</v>
      </c>
      <c r="G29" s="7">
        <f t="shared" si="42"/>
        <v>6.7</v>
      </c>
      <c r="H29" s="7">
        <f t="shared" si="9"/>
        <v>6.7</v>
      </c>
      <c r="I29" s="7">
        <f t="shared" si="43"/>
        <v>6.7</v>
      </c>
      <c r="J29" s="7">
        <f t="shared" ref="J29" si="176">I29</f>
        <v>6.7</v>
      </c>
      <c r="K29" s="7">
        <f t="shared" si="45"/>
        <v>6.7</v>
      </c>
      <c r="L29" s="7">
        <f t="shared" ref="L29" si="177">K29</f>
        <v>6.7</v>
      </c>
      <c r="M29" s="7">
        <f t="shared" si="47"/>
        <v>6.7</v>
      </c>
      <c r="N29" s="7">
        <f t="shared" ref="N29" si="178">M29</f>
        <v>6.7</v>
      </c>
      <c r="O29" s="7">
        <f t="shared" si="49"/>
        <v>6.7</v>
      </c>
      <c r="P29" s="7">
        <f t="shared" ref="P29" si="179">O29</f>
        <v>6.7</v>
      </c>
      <c r="Q29" s="7">
        <f t="shared" si="51"/>
        <v>6.7</v>
      </c>
      <c r="R29" s="7">
        <f t="shared" ref="R29" si="180">Q29</f>
        <v>6.7</v>
      </c>
      <c r="S29" s="7">
        <f t="shared" si="53"/>
        <v>6.7</v>
      </c>
      <c r="T29" s="7">
        <f t="shared" ref="T29" si="181">S29</f>
        <v>6.7</v>
      </c>
      <c r="U29" s="7">
        <f t="shared" si="55"/>
        <v>6.7</v>
      </c>
      <c r="V29" s="7">
        <f t="shared" si="55"/>
        <v>6.7</v>
      </c>
      <c r="W29" s="7">
        <f t="shared" si="55"/>
        <v>6.7</v>
      </c>
    </row>
    <row r="30" spans="1:23">
      <c r="A30" s="2" t="s">
        <v>101</v>
      </c>
      <c r="B30" t="s">
        <v>15</v>
      </c>
      <c r="C30" t="s">
        <v>40</v>
      </c>
      <c r="D30" s="45">
        <v>1752</v>
      </c>
      <c r="E30" s="45">
        <v>1752</v>
      </c>
      <c r="F30" s="7">
        <f t="shared" si="9"/>
        <v>1752</v>
      </c>
      <c r="G30" s="45">
        <v>1752</v>
      </c>
      <c r="H30" s="7">
        <f t="shared" si="9"/>
        <v>1752</v>
      </c>
      <c r="I30" s="45">
        <v>1752</v>
      </c>
      <c r="J30" s="7">
        <f t="shared" ref="J30" si="182">I30</f>
        <v>1752</v>
      </c>
      <c r="K30" s="45">
        <v>1752</v>
      </c>
      <c r="L30" s="7">
        <f t="shared" ref="L30" si="183">K30</f>
        <v>1752</v>
      </c>
      <c r="M30" s="45">
        <v>1752</v>
      </c>
      <c r="N30" s="7">
        <f t="shared" ref="N30" si="184">M30</f>
        <v>1752</v>
      </c>
      <c r="O30" s="45">
        <v>1752</v>
      </c>
      <c r="P30" s="7">
        <f t="shared" ref="P30" si="185">O30</f>
        <v>1752</v>
      </c>
      <c r="Q30" s="45">
        <v>1752</v>
      </c>
      <c r="R30" s="7">
        <f t="shared" ref="R30" si="186">Q30</f>
        <v>1752</v>
      </c>
      <c r="S30" s="45">
        <v>1752</v>
      </c>
      <c r="T30" s="7">
        <f t="shared" ref="T30" si="187">S30</f>
        <v>1752</v>
      </c>
      <c r="U30" s="45">
        <v>1752</v>
      </c>
      <c r="V30" s="45">
        <v>1752</v>
      </c>
      <c r="W30" s="45">
        <v>1752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DF9CB-AC1F-4498-A321-C1740F1F8708}">
  <dimension ref="A1:Y55"/>
  <sheetViews>
    <sheetView workbookViewId="0"/>
  </sheetViews>
  <sheetFormatPr defaultRowHeight="15"/>
  <cols>
    <col min="1" max="1" width="27.7109375" bestFit="1" customWidth="1"/>
    <col min="2" max="2" width="22.5703125" bestFit="1" customWidth="1"/>
    <col min="3" max="3" width="9.140625" customWidth="1"/>
    <col min="5" max="5" width="13.7109375" bestFit="1" customWidth="1"/>
    <col min="7" max="7" width="13.42578125" bestFit="1" customWidth="1"/>
  </cols>
  <sheetData>
    <row r="1" spans="1:25">
      <c r="A1" s="16" t="s">
        <v>52</v>
      </c>
      <c r="B1" s="16" t="s">
        <v>110</v>
      </c>
      <c r="C1" s="16" t="s">
        <v>53</v>
      </c>
      <c r="D1" s="16" t="s">
        <v>54</v>
      </c>
      <c r="E1" s="16" t="s">
        <v>55</v>
      </c>
      <c r="F1" s="16">
        <v>1990</v>
      </c>
      <c r="G1" s="16">
        <v>1995</v>
      </c>
      <c r="H1" s="16">
        <v>2000</v>
      </c>
      <c r="I1" s="16">
        <v>2005</v>
      </c>
      <c r="J1" s="16">
        <v>2010</v>
      </c>
      <c r="K1" s="16">
        <v>2015</v>
      </c>
      <c r="L1" s="16">
        <v>2020</v>
      </c>
      <c r="M1" s="16">
        <v>2025</v>
      </c>
      <c r="N1" s="16">
        <v>2030</v>
      </c>
      <c r="O1" s="16">
        <v>2035</v>
      </c>
      <c r="P1" s="16">
        <v>2040</v>
      </c>
      <c r="Q1" s="16">
        <v>2045</v>
      </c>
      <c r="R1" s="16">
        <v>2050</v>
      </c>
      <c r="S1" s="16">
        <v>2055</v>
      </c>
      <c r="T1" s="16">
        <v>2060</v>
      </c>
      <c r="U1" s="16">
        <v>2070</v>
      </c>
      <c r="V1" s="16">
        <v>2080</v>
      </c>
      <c r="W1" s="16">
        <v>2090</v>
      </c>
      <c r="X1" s="16">
        <v>2100</v>
      </c>
      <c r="Y1" s="16">
        <v>2110</v>
      </c>
    </row>
    <row r="2" spans="1:25">
      <c r="A2" t="s">
        <v>10</v>
      </c>
      <c r="B2" t="s">
        <v>111</v>
      </c>
      <c r="C2" t="s">
        <v>12</v>
      </c>
      <c r="D2" t="s">
        <v>15</v>
      </c>
      <c r="E2" t="s">
        <v>29</v>
      </c>
      <c r="F2" s="7">
        <f>895000/1000000</f>
        <v>0.89500000000000002</v>
      </c>
      <c r="G2" s="7">
        <f>(F2+H2)/2</f>
        <v>1.309342105263158</v>
      </c>
      <c r="H2" s="7">
        <f>1310000/1000000/0.76</f>
        <v>1.7236842105263159</v>
      </c>
      <c r="I2">
        <v>2.02</v>
      </c>
      <c r="J2">
        <f>I2</f>
        <v>2.02</v>
      </c>
      <c r="K2">
        <f>1190000/1000000</f>
        <v>1.19</v>
      </c>
      <c r="L2">
        <f>1180000/1000000</f>
        <v>1.18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25">
      <c r="A3" t="s">
        <v>10</v>
      </c>
      <c r="B3" t="s">
        <v>112</v>
      </c>
      <c r="C3" t="s">
        <v>12</v>
      </c>
      <c r="D3" t="s">
        <v>15</v>
      </c>
      <c r="E3" t="s">
        <v>29</v>
      </c>
      <c r="F3" s="7">
        <f>F2/25</f>
        <v>3.5799999999999998E-2</v>
      </c>
      <c r="G3" s="7">
        <f>(F3+H3)/2</f>
        <v>5.2373684210526315E-2</v>
      </c>
      <c r="H3" s="7">
        <f>H2/25</f>
        <v>6.8947368421052632E-2</v>
      </c>
      <c r="I3">
        <f>(H3+J3)/2</f>
        <v>7.4873684210526315E-2</v>
      </c>
      <c r="J3">
        <f>J2/25</f>
        <v>8.0799999999999997E-2</v>
      </c>
      <c r="K3">
        <f>(J3+L3)/2</f>
        <v>6.4000000000000001E-2</v>
      </c>
      <c r="L3">
        <f>L2/25</f>
        <v>4.7199999999999999E-2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1:25">
      <c r="A4" t="s">
        <v>43</v>
      </c>
      <c r="B4" t="s">
        <v>111</v>
      </c>
      <c r="C4" t="s">
        <v>12</v>
      </c>
      <c r="D4" t="s">
        <v>15</v>
      </c>
      <c r="E4" t="s">
        <v>29</v>
      </c>
      <c r="F4" s="7">
        <f>F2</f>
        <v>0.89500000000000002</v>
      </c>
      <c r="G4">
        <f>(F4+H4)/2</f>
        <v>1.309342105263158</v>
      </c>
      <c r="H4" s="7">
        <f>H2</f>
        <v>1.7236842105263159</v>
      </c>
      <c r="I4">
        <f>(H4+J4)/2</f>
        <v>1.871842105263158</v>
      </c>
      <c r="J4">
        <f>J2</f>
        <v>2.02</v>
      </c>
      <c r="K4">
        <f>(J4+L4)/2</f>
        <v>1.6</v>
      </c>
      <c r="L4" s="16">
        <f>L2</f>
        <v>1.18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spans="1:25">
      <c r="A5" t="s">
        <v>43</v>
      </c>
      <c r="B5" t="s">
        <v>112</v>
      </c>
      <c r="C5" t="s">
        <v>12</v>
      </c>
      <c r="D5" t="s">
        <v>15</v>
      </c>
      <c r="E5" t="s">
        <v>29</v>
      </c>
      <c r="F5">
        <f>F4/25</f>
        <v>3.5799999999999998E-2</v>
      </c>
      <c r="G5">
        <f t="shared" ref="G5:L5" si="0">G4/30</f>
        <v>4.3644736842105264E-2</v>
      </c>
      <c r="H5">
        <f t="shared" si="0"/>
        <v>5.7456140350877198E-2</v>
      </c>
      <c r="I5">
        <f t="shared" si="0"/>
        <v>6.2394736842105267E-2</v>
      </c>
      <c r="J5">
        <f t="shared" si="0"/>
        <v>6.7333333333333328E-2</v>
      </c>
      <c r="K5">
        <f t="shared" si="0"/>
        <v>5.3333333333333337E-2</v>
      </c>
      <c r="L5">
        <f t="shared" si="0"/>
        <v>3.9333333333333331E-2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spans="1:25"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5"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5"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21" spans="6:8">
      <c r="F21" s="7"/>
    </row>
    <row r="23" spans="6:8">
      <c r="F23" s="7"/>
    </row>
    <row r="25" spans="6:8">
      <c r="F25" s="14"/>
      <c r="H25" s="14"/>
    </row>
    <row r="26" spans="6:8">
      <c r="F26" s="14"/>
      <c r="H26" s="14"/>
    </row>
    <row r="27" spans="6:8">
      <c r="F27" s="14"/>
      <c r="H27" s="14"/>
    </row>
    <row r="28" spans="6:8">
      <c r="F28" s="14"/>
      <c r="H28" s="14"/>
    </row>
    <row r="29" spans="6:8">
      <c r="F29" s="14"/>
      <c r="H29" s="14"/>
    </row>
    <row r="30" spans="6:8">
      <c r="F30" s="14"/>
      <c r="H30" s="14"/>
    </row>
    <row r="31" spans="6:8">
      <c r="F31" s="14"/>
      <c r="H31" s="14"/>
    </row>
    <row r="32" spans="6:8">
      <c r="F32" s="14"/>
      <c r="H32" s="14"/>
    </row>
    <row r="33" spans="3:10">
      <c r="F33" s="14"/>
      <c r="H33" s="14"/>
    </row>
    <row r="34" spans="3:10">
      <c r="F34" s="14"/>
      <c r="H34" s="14"/>
    </row>
    <row r="35" spans="3:10">
      <c r="F35" s="14"/>
      <c r="H35" s="14"/>
    </row>
    <row r="36" spans="3:10">
      <c r="F36" s="14"/>
      <c r="H36" s="14"/>
    </row>
    <row r="37" spans="3:10">
      <c r="C37" s="14"/>
      <c r="F37" s="14"/>
      <c r="H37" s="14"/>
    </row>
    <row r="38" spans="3:10">
      <c r="C38" s="14"/>
      <c r="F38" s="14"/>
      <c r="H38" s="14"/>
    </row>
    <row r="39" spans="3:10">
      <c r="F39" s="14"/>
      <c r="H39" s="14"/>
    </row>
    <row r="40" spans="3:10">
      <c r="F40" s="14"/>
      <c r="H40" s="14"/>
      <c r="J40" s="14"/>
    </row>
    <row r="41" spans="3:10">
      <c r="F41" s="14"/>
      <c r="H41" s="14"/>
    </row>
    <row r="42" spans="3:10">
      <c r="F42" s="14"/>
      <c r="H42" s="14"/>
    </row>
    <row r="43" spans="3:10">
      <c r="F43" s="14"/>
      <c r="H43" s="14"/>
    </row>
    <row r="44" spans="3:10">
      <c r="F44" s="14"/>
      <c r="H44" s="14"/>
    </row>
    <row r="45" spans="3:10">
      <c r="F45" s="14"/>
      <c r="H45" s="14"/>
    </row>
    <row r="46" spans="3:10">
      <c r="F46" s="14"/>
      <c r="H46" s="14"/>
    </row>
    <row r="47" spans="3:10">
      <c r="F47" s="14"/>
      <c r="H47" s="14"/>
    </row>
    <row r="48" spans="3:10">
      <c r="F48" s="14"/>
      <c r="H48" s="14"/>
    </row>
    <row r="49" spans="3:8">
      <c r="F49" s="14"/>
      <c r="H49" s="14"/>
    </row>
    <row r="50" spans="3:8">
      <c r="F50" s="14"/>
      <c r="H50" s="14"/>
    </row>
    <row r="51" spans="3:8">
      <c r="F51" s="14"/>
      <c r="H51" s="14"/>
    </row>
    <row r="52" spans="3:8">
      <c r="C52" s="14"/>
      <c r="F52" s="14"/>
      <c r="H52" s="14"/>
    </row>
    <row r="53" spans="3:8">
      <c r="F53" s="14"/>
      <c r="H53" s="14"/>
    </row>
    <row r="54" spans="3:8">
      <c r="F54" s="14"/>
      <c r="H54" s="14"/>
    </row>
    <row r="55" spans="3:8">
      <c r="F55" s="14"/>
      <c r="H55" s="14"/>
    </row>
  </sheetData>
  <autoFilter ref="A1:Y68" xr:uid="{CCCDCEA5-6AF1-4A3F-B895-C969FEE380D5}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099D5-4F40-4004-83C4-1DCA3180223F}">
  <dimension ref="A1:G101"/>
  <sheetViews>
    <sheetView workbookViewId="0"/>
  </sheetViews>
  <sheetFormatPr defaultRowHeight="15"/>
  <cols>
    <col min="1" max="1" width="32.28515625" bestFit="1" customWidth="1"/>
    <col min="6" max="6" width="15.7109375" bestFit="1" customWidth="1"/>
  </cols>
  <sheetData>
    <row r="1" spans="1:7" ht="15.75" thickBot="1">
      <c r="A1" s="16" t="s">
        <v>52</v>
      </c>
      <c r="B1" s="16" t="s">
        <v>53</v>
      </c>
      <c r="C1" s="16" t="s">
        <v>54</v>
      </c>
      <c r="D1" s="16" t="s">
        <v>55</v>
      </c>
      <c r="E1" s="16" t="s">
        <v>56</v>
      </c>
      <c r="F1" s="16" t="s">
        <v>57</v>
      </c>
      <c r="G1" s="16" t="s">
        <v>58</v>
      </c>
    </row>
    <row r="2" spans="1:7">
      <c r="A2" s="72" t="s">
        <v>10</v>
      </c>
      <c r="B2" s="73" t="s">
        <v>225</v>
      </c>
      <c r="C2" s="73" t="s">
        <v>15</v>
      </c>
      <c r="D2" s="73" t="s">
        <v>29</v>
      </c>
      <c r="E2" s="73">
        <v>1000</v>
      </c>
      <c r="F2" s="73">
        <v>10</v>
      </c>
      <c r="G2" s="74">
        <v>2010</v>
      </c>
    </row>
    <row r="3" spans="1:7">
      <c r="A3" s="75" t="str">
        <f t="shared" ref="A3" si="0">A2</f>
        <v>mining_flotation_graphite</v>
      </c>
      <c r="B3" t="str">
        <f t="shared" ref="B3:D53" si="1">B2</f>
        <v>China</v>
      </c>
      <c r="C3" t="str">
        <f t="shared" ref="C3" si="2">C2</f>
        <v>M1</v>
      </c>
      <c r="D3" t="str">
        <f t="shared" ref="D3" si="3">D2</f>
        <v>Mt</v>
      </c>
      <c r="E3">
        <v>1000</v>
      </c>
      <c r="F3">
        <v>10</v>
      </c>
      <c r="G3" s="76">
        <v>2015</v>
      </c>
    </row>
    <row r="4" spans="1:7">
      <c r="A4" s="75" t="s">
        <v>43</v>
      </c>
      <c r="B4" t="str">
        <f t="shared" si="1"/>
        <v>China</v>
      </c>
      <c r="C4" t="s">
        <v>15</v>
      </c>
      <c r="D4" t="s">
        <v>29</v>
      </c>
      <c r="E4">
        <v>1000</v>
      </c>
      <c r="F4">
        <v>10</v>
      </c>
      <c r="G4" s="76">
        <v>2010</v>
      </c>
    </row>
    <row r="5" spans="1:7">
      <c r="A5" s="75" t="s">
        <v>43</v>
      </c>
      <c r="B5" t="str">
        <f t="shared" si="1"/>
        <v>China</v>
      </c>
      <c r="C5" t="s">
        <v>15</v>
      </c>
      <c r="D5" t="s">
        <v>29</v>
      </c>
      <c r="E5">
        <v>1000</v>
      </c>
      <c r="F5">
        <v>10</v>
      </c>
      <c r="G5" s="76">
        <v>2015</v>
      </c>
    </row>
    <row r="6" spans="1:7">
      <c r="A6" s="75" t="s">
        <v>61</v>
      </c>
      <c r="B6" t="str">
        <f t="shared" si="1"/>
        <v>China</v>
      </c>
      <c r="C6" t="s">
        <v>15</v>
      </c>
      <c r="D6" t="s">
        <v>29</v>
      </c>
      <c r="E6">
        <v>500</v>
      </c>
      <c r="F6">
        <v>5</v>
      </c>
      <c r="G6" s="76">
        <v>2010</v>
      </c>
    </row>
    <row r="7" spans="1:7">
      <c r="A7" s="75" t="s">
        <v>62</v>
      </c>
      <c r="B7" t="str">
        <f t="shared" si="1"/>
        <v>China</v>
      </c>
      <c r="C7" t="s">
        <v>15</v>
      </c>
      <c r="D7" t="s">
        <v>29</v>
      </c>
      <c r="E7">
        <v>750</v>
      </c>
      <c r="F7">
        <v>7.5</v>
      </c>
      <c r="G7" s="76">
        <v>2010</v>
      </c>
    </row>
    <row r="8" spans="1:7">
      <c r="A8" s="75" t="s">
        <v>63</v>
      </c>
      <c r="B8" t="str">
        <f t="shared" si="1"/>
        <v>China</v>
      </c>
      <c r="C8" t="s">
        <v>15</v>
      </c>
      <c r="D8" t="s">
        <v>29</v>
      </c>
      <c r="E8">
        <v>0.36</v>
      </c>
      <c r="F8">
        <v>0.03</v>
      </c>
      <c r="G8" s="76">
        <v>2010</v>
      </c>
    </row>
    <row r="9" spans="1:7">
      <c r="A9" s="75" t="s">
        <v>61</v>
      </c>
      <c r="B9" t="str">
        <f t="shared" si="1"/>
        <v>China</v>
      </c>
      <c r="C9" t="s">
        <v>15</v>
      </c>
      <c r="D9" t="s">
        <v>29</v>
      </c>
      <c r="E9">
        <v>750</v>
      </c>
      <c r="F9">
        <v>8</v>
      </c>
      <c r="G9" s="76">
        <v>2015</v>
      </c>
    </row>
    <row r="10" spans="1:7">
      <c r="A10" s="75" t="s">
        <v>62</v>
      </c>
      <c r="B10" t="str">
        <f t="shared" si="1"/>
        <v>China</v>
      </c>
      <c r="C10" t="s">
        <v>15</v>
      </c>
      <c r="D10" t="s">
        <v>29</v>
      </c>
      <c r="E10">
        <v>1000</v>
      </c>
      <c r="F10">
        <v>10</v>
      </c>
      <c r="G10" s="76">
        <v>2015</v>
      </c>
    </row>
    <row r="11" spans="1:7">
      <c r="A11" s="75" t="s">
        <v>63</v>
      </c>
      <c r="B11" t="str">
        <f t="shared" si="1"/>
        <v>China</v>
      </c>
      <c r="C11" t="s">
        <v>15</v>
      </c>
      <c r="D11" t="s">
        <v>29</v>
      </c>
      <c r="E11">
        <v>0.9</v>
      </c>
      <c r="F11">
        <v>0.05</v>
      </c>
      <c r="G11" s="76">
        <v>2015</v>
      </c>
    </row>
    <row r="12" spans="1:7">
      <c r="A12" s="75" t="s">
        <v>64</v>
      </c>
      <c r="B12" t="str">
        <f t="shared" si="1"/>
        <v>China</v>
      </c>
      <c r="C12" t="s">
        <v>15</v>
      </c>
      <c r="D12" t="s">
        <v>29</v>
      </c>
      <c r="E12">
        <v>1000</v>
      </c>
      <c r="F12">
        <v>10</v>
      </c>
      <c r="G12" s="76">
        <v>2010</v>
      </c>
    </row>
    <row r="13" spans="1:7">
      <c r="A13" s="75" t="s">
        <v>67</v>
      </c>
      <c r="B13" t="str">
        <f t="shared" si="1"/>
        <v>China</v>
      </c>
      <c r="C13" t="s">
        <v>15</v>
      </c>
      <c r="D13" t="s">
        <v>29</v>
      </c>
      <c r="E13">
        <v>1000</v>
      </c>
      <c r="F13">
        <v>10</v>
      </c>
      <c r="G13" s="76">
        <v>2010</v>
      </c>
    </row>
    <row r="14" spans="1:7">
      <c r="A14" s="75" t="s">
        <v>68</v>
      </c>
      <c r="B14" t="str">
        <f t="shared" si="1"/>
        <v>China</v>
      </c>
      <c r="C14" t="s">
        <v>15</v>
      </c>
      <c r="D14" t="s">
        <v>29</v>
      </c>
      <c r="E14">
        <v>1000</v>
      </c>
      <c r="F14">
        <v>10</v>
      </c>
      <c r="G14" s="76">
        <v>2010</v>
      </c>
    </row>
    <row r="15" spans="1:7">
      <c r="A15" s="75" t="s">
        <v>64</v>
      </c>
      <c r="B15" t="str">
        <f t="shared" si="1"/>
        <v>China</v>
      </c>
      <c r="C15" t="s">
        <v>15</v>
      </c>
      <c r="D15" t="s">
        <v>29</v>
      </c>
      <c r="E15">
        <v>1000</v>
      </c>
      <c r="F15">
        <v>10</v>
      </c>
      <c r="G15" s="76">
        <v>2015</v>
      </c>
    </row>
    <row r="16" spans="1:7">
      <c r="A16" s="75" t="s">
        <v>67</v>
      </c>
      <c r="B16" t="str">
        <f t="shared" si="1"/>
        <v>China</v>
      </c>
      <c r="C16" t="s">
        <v>15</v>
      </c>
      <c r="D16" t="s">
        <v>29</v>
      </c>
      <c r="E16">
        <v>1000</v>
      </c>
      <c r="F16">
        <v>10</v>
      </c>
      <c r="G16" s="76">
        <v>2015</v>
      </c>
    </row>
    <row r="17" spans="1:7">
      <c r="A17" s="75" t="s">
        <v>68</v>
      </c>
      <c r="B17" t="str">
        <f t="shared" si="1"/>
        <v>China</v>
      </c>
      <c r="C17" t="s">
        <v>15</v>
      </c>
      <c r="D17" t="s">
        <v>29</v>
      </c>
      <c r="E17">
        <v>1000</v>
      </c>
      <c r="F17">
        <v>10</v>
      </c>
      <c r="G17" s="76">
        <v>2015</v>
      </c>
    </row>
    <row r="18" spans="1:7">
      <c r="A18" s="75" t="s">
        <v>71</v>
      </c>
      <c r="B18" t="str">
        <f t="shared" si="1"/>
        <v>China</v>
      </c>
      <c r="C18" t="s">
        <v>15</v>
      </c>
      <c r="D18" t="s">
        <v>29</v>
      </c>
      <c r="E18">
        <v>1000</v>
      </c>
      <c r="F18">
        <v>10</v>
      </c>
      <c r="G18" s="76">
        <v>2010</v>
      </c>
    </row>
    <row r="19" spans="1:7">
      <c r="A19" s="75" t="s">
        <v>71</v>
      </c>
      <c r="B19" t="str">
        <f t="shared" si="1"/>
        <v>China</v>
      </c>
      <c r="C19" t="s">
        <v>15</v>
      </c>
      <c r="D19" t="s">
        <v>29</v>
      </c>
      <c r="E19">
        <v>1000</v>
      </c>
      <c r="F19">
        <v>10</v>
      </c>
      <c r="G19" s="76">
        <v>2015</v>
      </c>
    </row>
    <row r="20" spans="1:7">
      <c r="A20" s="75" t="s">
        <v>72</v>
      </c>
      <c r="B20" t="str">
        <f t="shared" si="1"/>
        <v>China</v>
      </c>
      <c r="C20" t="s">
        <v>15</v>
      </c>
      <c r="D20" t="s">
        <v>29</v>
      </c>
      <c r="E20">
        <v>1000</v>
      </c>
      <c r="F20">
        <v>10</v>
      </c>
      <c r="G20" s="76">
        <v>2010</v>
      </c>
    </row>
    <row r="21" spans="1:7">
      <c r="A21" s="75" t="s">
        <v>72</v>
      </c>
      <c r="B21" t="str">
        <f t="shared" si="1"/>
        <v>China</v>
      </c>
      <c r="C21" t="s">
        <v>15</v>
      </c>
      <c r="D21" t="s">
        <v>29</v>
      </c>
      <c r="E21">
        <v>1000</v>
      </c>
      <c r="F21">
        <v>10</v>
      </c>
      <c r="G21" s="76">
        <v>2015</v>
      </c>
    </row>
    <row r="22" spans="1:7">
      <c r="A22" s="75" t="s">
        <v>73</v>
      </c>
      <c r="B22" t="str">
        <f t="shared" si="1"/>
        <v>China</v>
      </c>
      <c r="C22" t="s">
        <v>15</v>
      </c>
      <c r="D22" t="s">
        <v>29</v>
      </c>
      <c r="E22">
        <v>1000</v>
      </c>
      <c r="F22">
        <v>10</v>
      </c>
      <c r="G22" s="76">
        <v>2010</v>
      </c>
    </row>
    <row r="23" spans="1:7">
      <c r="A23" s="75" t="s">
        <v>73</v>
      </c>
      <c r="B23" t="str">
        <f t="shared" si="1"/>
        <v>China</v>
      </c>
      <c r="C23" t="s">
        <v>15</v>
      </c>
      <c r="D23" t="s">
        <v>29</v>
      </c>
      <c r="E23">
        <v>1000</v>
      </c>
      <c r="F23">
        <v>10</v>
      </c>
      <c r="G23" s="76">
        <v>2015</v>
      </c>
    </row>
    <row r="24" spans="1:7">
      <c r="A24" s="75" t="s">
        <v>75</v>
      </c>
      <c r="B24" t="str">
        <f t="shared" si="1"/>
        <v>China</v>
      </c>
      <c r="C24" t="s">
        <v>15</v>
      </c>
      <c r="D24" t="s">
        <v>29</v>
      </c>
      <c r="E24">
        <v>1000</v>
      </c>
      <c r="F24">
        <v>10</v>
      </c>
      <c r="G24" s="76">
        <v>2010</v>
      </c>
    </row>
    <row r="25" spans="1:7">
      <c r="A25" s="75" t="s">
        <v>75</v>
      </c>
      <c r="B25" t="str">
        <f t="shared" si="1"/>
        <v>China</v>
      </c>
      <c r="C25" t="s">
        <v>15</v>
      </c>
      <c r="D25" t="s">
        <v>29</v>
      </c>
      <c r="E25">
        <v>1000</v>
      </c>
      <c r="F25">
        <v>10</v>
      </c>
      <c r="G25" s="76">
        <v>2015</v>
      </c>
    </row>
    <row r="26" spans="1:7">
      <c r="A26" s="75" t="s">
        <v>79</v>
      </c>
      <c r="B26" t="str">
        <f t="shared" si="1"/>
        <v>China</v>
      </c>
      <c r="C26" t="s">
        <v>15</v>
      </c>
      <c r="D26" t="s">
        <v>29</v>
      </c>
      <c r="E26">
        <v>1000</v>
      </c>
      <c r="F26">
        <v>10</v>
      </c>
      <c r="G26" s="76">
        <v>2010</v>
      </c>
    </row>
    <row r="27" spans="1:7">
      <c r="A27" s="75" t="s">
        <v>79</v>
      </c>
      <c r="B27" t="str">
        <f t="shared" si="1"/>
        <v>China</v>
      </c>
      <c r="C27" t="s">
        <v>15</v>
      </c>
      <c r="D27" t="s">
        <v>29</v>
      </c>
      <c r="E27">
        <v>1000</v>
      </c>
      <c r="F27">
        <v>10</v>
      </c>
      <c r="G27" s="76">
        <v>2015</v>
      </c>
    </row>
    <row r="28" spans="1:7">
      <c r="A28" s="75" t="s">
        <v>80</v>
      </c>
      <c r="B28" t="str">
        <f t="shared" si="1"/>
        <v>China</v>
      </c>
      <c r="C28" t="s">
        <v>15</v>
      </c>
      <c r="D28" t="s">
        <v>29</v>
      </c>
      <c r="E28">
        <v>1000</v>
      </c>
      <c r="F28">
        <v>10</v>
      </c>
      <c r="G28" s="76">
        <v>2010</v>
      </c>
    </row>
    <row r="29" spans="1:7">
      <c r="A29" s="75" t="s">
        <v>80</v>
      </c>
      <c r="B29" t="str">
        <f t="shared" si="1"/>
        <v>China</v>
      </c>
      <c r="C29" t="s">
        <v>15</v>
      </c>
      <c r="D29" t="s">
        <v>29</v>
      </c>
      <c r="E29">
        <v>1000</v>
      </c>
      <c r="F29">
        <v>10</v>
      </c>
      <c r="G29" s="76">
        <v>2015</v>
      </c>
    </row>
    <row r="30" spans="1:7">
      <c r="A30" s="75" t="s">
        <v>81</v>
      </c>
      <c r="B30" t="str">
        <f t="shared" si="1"/>
        <v>China</v>
      </c>
      <c r="C30" t="s">
        <v>15</v>
      </c>
      <c r="D30" t="s">
        <v>29</v>
      </c>
      <c r="E30">
        <v>1000</v>
      </c>
      <c r="F30">
        <v>10</v>
      </c>
      <c r="G30" s="76">
        <v>2010</v>
      </c>
    </row>
    <row r="31" spans="1:7">
      <c r="A31" s="75" t="s">
        <v>81</v>
      </c>
      <c r="B31" t="str">
        <f t="shared" si="1"/>
        <v>China</v>
      </c>
      <c r="C31" t="s">
        <v>15</v>
      </c>
      <c r="D31" t="s">
        <v>29</v>
      </c>
      <c r="E31">
        <v>1000</v>
      </c>
      <c r="F31">
        <v>10</v>
      </c>
      <c r="G31" s="76">
        <v>2015</v>
      </c>
    </row>
    <row r="32" spans="1:7">
      <c r="A32" s="75" t="s">
        <v>86</v>
      </c>
      <c r="B32" t="str">
        <f t="shared" si="1"/>
        <v>China</v>
      </c>
      <c r="C32" t="s">
        <v>15</v>
      </c>
      <c r="D32" t="s">
        <v>29</v>
      </c>
      <c r="E32">
        <v>1000</v>
      </c>
      <c r="F32">
        <v>10</v>
      </c>
      <c r="G32" s="76">
        <v>2010</v>
      </c>
    </row>
    <row r="33" spans="1:7">
      <c r="A33" s="75" t="s">
        <v>86</v>
      </c>
      <c r="B33" t="str">
        <f t="shared" si="1"/>
        <v>China</v>
      </c>
      <c r="C33" t="s">
        <v>15</v>
      </c>
      <c r="D33" t="s">
        <v>29</v>
      </c>
      <c r="E33">
        <v>1000</v>
      </c>
      <c r="F33">
        <v>10</v>
      </c>
      <c r="G33" s="76">
        <v>2015</v>
      </c>
    </row>
    <row r="34" spans="1:7">
      <c r="A34" s="75" t="s">
        <v>87</v>
      </c>
      <c r="B34" t="str">
        <f t="shared" si="1"/>
        <v>China</v>
      </c>
      <c r="C34" t="s">
        <v>15</v>
      </c>
      <c r="D34" t="s">
        <v>29</v>
      </c>
      <c r="E34">
        <v>1000</v>
      </c>
      <c r="F34">
        <v>10</v>
      </c>
      <c r="G34" s="76">
        <v>2010</v>
      </c>
    </row>
    <row r="35" spans="1:7">
      <c r="A35" s="75" t="s">
        <v>87</v>
      </c>
      <c r="B35" t="str">
        <f t="shared" si="1"/>
        <v>China</v>
      </c>
      <c r="C35" t="s">
        <v>15</v>
      </c>
      <c r="D35" t="s">
        <v>29</v>
      </c>
      <c r="E35">
        <v>1000</v>
      </c>
      <c r="F35">
        <v>10</v>
      </c>
      <c r="G35" s="76">
        <v>2015</v>
      </c>
    </row>
    <row r="36" spans="1:7">
      <c r="A36" s="75" t="s">
        <v>89</v>
      </c>
      <c r="B36" t="str">
        <f t="shared" si="1"/>
        <v>China</v>
      </c>
      <c r="C36" t="s">
        <v>15</v>
      </c>
      <c r="D36" t="s">
        <v>29</v>
      </c>
      <c r="E36">
        <v>1000</v>
      </c>
      <c r="F36">
        <v>10</v>
      </c>
      <c r="G36" s="76">
        <v>2010</v>
      </c>
    </row>
    <row r="37" spans="1:7">
      <c r="A37" s="75" t="s">
        <v>89</v>
      </c>
      <c r="B37" t="str">
        <f t="shared" si="1"/>
        <v>China</v>
      </c>
      <c r="C37" t="s">
        <v>15</v>
      </c>
      <c r="D37" t="s">
        <v>29</v>
      </c>
      <c r="E37">
        <v>1000</v>
      </c>
      <c r="F37">
        <v>10</v>
      </c>
      <c r="G37" s="76">
        <v>2015</v>
      </c>
    </row>
    <row r="38" spans="1:7">
      <c r="A38" s="75" t="s">
        <v>92</v>
      </c>
      <c r="B38" t="str">
        <f t="shared" si="1"/>
        <v>China</v>
      </c>
      <c r="C38" t="s">
        <v>15</v>
      </c>
      <c r="D38" t="s">
        <v>29</v>
      </c>
      <c r="E38">
        <v>1000</v>
      </c>
      <c r="F38">
        <v>10</v>
      </c>
      <c r="G38" s="76">
        <v>2010</v>
      </c>
    </row>
    <row r="39" spans="1:7">
      <c r="A39" s="75" t="s">
        <v>92</v>
      </c>
      <c r="B39" t="str">
        <f t="shared" si="1"/>
        <v>China</v>
      </c>
      <c r="C39" t="s">
        <v>15</v>
      </c>
      <c r="D39" t="s">
        <v>29</v>
      </c>
      <c r="E39">
        <v>1000</v>
      </c>
      <c r="F39">
        <v>10</v>
      </c>
      <c r="G39" s="76">
        <v>2015</v>
      </c>
    </row>
    <row r="40" spans="1:7">
      <c r="A40" s="75" t="s">
        <v>95</v>
      </c>
      <c r="B40" t="str">
        <f t="shared" si="1"/>
        <v>China</v>
      </c>
      <c r="C40" t="s">
        <v>15</v>
      </c>
      <c r="D40" t="s">
        <v>29</v>
      </c>
      <c r="E40">
        <v>1000</v>
      </c>
      <c r="F40">
        <v>10</v>
      </c>
      <c r="G40" s="76">
        <v>2010</v>
      </c>
    </row>
    <row r="41" spans="1:7">
      <c r="A41" s="75" t="s">
        <v>95</v>
      </c>
      <c r="B41" t="str">
        <f t="shared" si="1"/>
        <v>China</v>
      </c>
      <c r="C41" t="s">
        <v>15</v>
      </c>
      <c r="D41" t="s">
        <v>29</v>
      </c>
      <c r="E41">
        <v>1000</v>
      </c>
      <c r="F41">
        <v>10</v>
      </c>
      <c r="G41" s="76">
        <v>2015</v>
      </c>
    </row>
    <row r="42" spans="1:7">
      <c r="A42" s="75" t="s">
        <v>97</v>
      </c>
      <c r="B42" t="str">
        <f t="shared" si="1"/>
        <v>China</v>
      </c>
      <c r="C42" t="s">
        <v>15</v>
      </c>
      <c r="D42" t="s">
        <v>29</v>
      </c>
      <c r="E42">
        <v>1000</v>
      </c>
      <c r="F42">
        <v>10</v>
      </c>
      <c r="G42" s="76">
        <v>2010</v>
      </c>
    </row>
    <row r="43" spans="1:7">
      <c r="A43" s="75" t="s">
        <v>97</v>
      </c>
      <c r="B43" t="str">
        <f t="shared" si="1"/>
        <v>China</v>
      </c>
      <c r="C43" t="s">
        <v>15</v>
      </c>
      <c r="D43" t="s">
        <v>29</v>
      </c>
      <c r="E43">
        <v>1000</v>
      </c>
      <c r="F43">
        <v>10</v>
      </c>
      <c r="G43" s="76">
        <v>2015</v>
      </c>
    </row>
    <row r="44" spans="1:7">
      <c r="A44" s="75" t="s">
        <v>98</v>
      </c>
      <c r="B44" t="str">
        <f t="shared" si="1"/>
        <v>China</v>
      </c>
      <c r="C44" t="s">
        <v>15</v>
      </c>
      <c r="D44" t="s">
        <v>29</v>
      </c>
      <c r="E44">
        <v>1000</v>
      </c>
      <c r="F44">
        <v>10</v>
      </c>
      <c r="G44" s="76">
        <v>2010</v>
      </c>
    </row>
    <row r="45" spans="1:7">
      <c r="A45" s="75" t="s">
        <v>98</v>
      </c>
      <c r="B45" t="str">
        <f t="shared" si="1"/>
        <v>China</v>
      </c>
      <c r="C45" t="s">
        <v>15</v>
      </c>
      <c r="D45" t="s">
        <v>29</v>
      </c>
      <c r="E45">
        <v>1000</v>
      </c>
      <c r="F45">
        <v>10</v>
      </c>
      <c r="G45" s="76">
        <v>2015</v>
      </c>
    </row>
    <row r="46" spans="1:7">
      <c r="A46" s="75" t="s">
        <v>99</v>
      </c>
      <c r="B46" t="str">
        <f t="shared" si="1"/>
        <v>China</v>
      </c>
      <c r="C46" t="s">
        <v>15</v>
      </c>
      <c r="D46" t="s">
        <v>29</v>
      </c>
      <c r="E46">
        <v>1000</v>
      </c>
      <c r="F46">
        <v>10</v>
      </c>
      <c r="G46" s="76">
        <v>2010</v>
      </c>
    </row>
    <row r="47" spans="1:7">
      <c r="A47" s="75" t="s">
        <v>99</v>
      </c>
      <c r="B47" t="str">
        <f t="shared" si="1"/>
        <v>China</v>
      </c>
      <c r="C47" t="s">
        <v>15</v>
      </c>
      <c r="D47" t="s">
        <v>29</v>
      </c>
      <c r="E47">
        <v>1000</v>
      </c>
      <c r="F47">
        <v>10</v>
      </c>
      <c r="G47" s="76">
        <v>2015</v>
      </c>
    </row>
    <row r="48" spans="1:7">
      <c r="A48" s="75" t="s">
        <v>100</v>
      </c>
      <c r="B48" t="str">
        <f t="shared" si="1"/>
        <v>China</v>
      </c>
      <c r="C48" t="s">
        <v>15</v>
      </c>
      <c r="D48" t="s">
        <v>29</v>
      </c>
      <c r="E48">
        <v>1000</v>
      </c>
      <c r="F48">
        <v>10</v>
      </c>
      <c r="G48" s="76">
        <v>2010</v>
      </c>
    </row>
    <row r="49" spans="1:7">
      <c r="A49" s="75" t="s">
        <v>100</v>
      </c>
      <c r="B49" t="str">
        <f t="shared" si="1"/>
        <v>China</v>
      </c>
      <c r="C49" t="s">
        <v>15</v>
      </c>
      <c r="D49" t="s">
        <v>29</v>
      </c>
      <c r="E49">
        <v>1000</v>
      </c>
      <c r="F49">
        <v>10</v>
      </c>
      <c r="G49" s="76">
        <v>2015</v>
      </c>
    </row>
    <row r="50" spans="1:7">
      <c r="A50" s="75" t="s">
        <v>101</v>
      </c>
      <c r="B50" t="str">
        <f t="shared" si="1"/>
        <v>China</v>
      </c>
      <c r="C50" t="s">
        <v>15</v>
      </c>
      <c r="D50" t="s">
        <v>29</v>
      </c>
      <c r="E50">
        <v>1000</v>
      </c>
      <c r="F50">
        <v>10</v>
      </c>
      <c r="G50" s="76">
        <v>2010</v>
      </c>
    </row>
    <row r="51" spans="1:7" ht="15.75" thickBot="1">
      <c r="A51" s="77" t="s">
        <v>101</v>
      </c>
      <c r="B51" s="78" t="str">
        <f t="shared" si="1"/>
        <v>China</v>
      </c>
      <c r="C51" s="78" t="s">
        <v>15</v>
      </c>
      <c r="D51" s="78" t="s">
        <v>29</v>
      </c>
      <c r="E51" s="78">
        <v>1000</v>
      </c>
      <c r="F51" s="78">
        <v>10</v>
      </c>
      <c r="G51" s="79">
        <v>2015</v>
      </c>
    </row>
    <row r="52" spans="1:7">
      <c r="A52" t="s">
        <v>10</v>
      </c>
      <c r="B52" t="s">
        <v>225</v>
      </c>
      <c r="C52" t="s">
        <v>15</v>
      </c>
      <c r="D52" t="s">
        <v>29</v>
      </c>
      <c r="E52">
        <v>1000</v>
      </c>
      <c r="F52">
        <v>10</v>
      </c>
      <c r="G52">
        <v>2010</v>
      </c>
    </row>
    <row r="53" spans="1:7">
      <c r="A53" t="str">
        <f t="shared" ref="A53" si="4">A52</f>
        <v>mining_flotation_graphite</v>
      </c>
      <c r="B53" t="str">
        <f t="shared" si="1"/>
        <v>China</v>
      </c>
      <c r="C53" t="str">
        <f t="shared" si="1"/>
        <v>M1</v>
      </c>
      <c r="D53" t="str">
        <f t="shared" si="1"/>
        <v>Mt</v>
      </c>
      <c r="E53">
        <v>1000</v>
      </c>
      <c r="F53">
        <v>10</v>
      </c>
      <c r="G53">
        <v>2015</v>
      </c>
    </row>
    <row r="54" spans="1:7">
      <c r="A54" t="s">
        <v>43</v>
      </c>
      <c r="B54" t="str">
        <f t="shared" ref="B54:B69" si="5">B53</f>
        <v>China</v>
      </c>
      <c r="C54" t="s">
        <v>15</v>
      </c>
      <c r="D54" t="s">
        <v>29</v>
      </c>
      <c r="E54">
        <v>1000</v>
      </c>
      <c r="F54">
        <v>10</v>
      </c>
      <c r="G54">
        <v>2010</v>
      </c>
    </row>
    <row r="55" spans="1:7">
      <c r="A55" t="s">
        <v>43</v>
      </c>
      <c r="B55" t="str">
        <f t="shared" si="5"/>
        <v>China</v>
      </c>
      <c r="C55" t="s">
        <v>15</v>
      </c>
      <c r="D55" t="s">
        <v>29</v>
      </c>
      <c r="E55">
        <v>1000</v>
      </c>
      <c r="F55">
        <v>10</v>
      </c>
      <c r="G55">
        <v>2015</v>
      </c>
    </row>
    <row r="56" spans="1:7">
      <c r="A56" t="s">
        <v>61</v>
      </c>
      <c r="B56" t="str">
        <f t="shared" si="5"/>
        <v>China</v>
      </c>
      <c r="C56" t="s">
        <v>15</v>
      </c>
      <c r="D56" t="s">
        <v>29</v>
      </c>
      <c r="E56">
        <v>500</v>
      </c>
      <c r="F56">
        <v>5</v>
      </c>
      <c r="G56">
        <v>2010</v>
      </c>
    </row>
    <row r="57" spans="1:7">
      <c r="A57" t="s">
        <v>62</v>
      </c>
      <c r="B57" t="str">
        <f t="shared" si="5"/>
        <v>China</v>
      </c>
      <c r="C57" t="s">
        <v>15</v>
      </c>
      <c r="D57" t="s">
        <v>29</v>
      </c>
      <c r="E57">
        <v>750</v>
      </c>
      <c r="F57">
        <v>7.5</v>
      </c>
      <c r="G57">
        <v>2010</v>
      </c>
    </row>
    <row r="58" spans="1:7">
      <c r="A58" t="s">
        <v>63</v>
      </c>
      <c r="B58" t="str">
        <f t="shared" si="5"/>
        <v>China</v>
      </c>
      <c r="C58" t="s">
        <v>15</v>
      </c>
      <c r="D58" t="s">
        <v>29</v>
      </c>
      <c r="E58">
        <v>0.36</v>
      </c>
      <c r="F58">
        <v>0.03</v>
      </c>
      <c r="G58">
        <v>2010</v>
      </c>
    </row>
    <row r="59" spans="1:7">
      <c r="A59" t="s">
        <v>61</v>
      </c>
      <c r="B59" t="str">
        <f t="shared" si="5"/>
        <v>China</v>
      </c>
      <c r="C59" t="s">
        <v>15</v>
      </c>
      <c r="D59" t="s">
        <v>29</v>
      </c>
      <c r="E59">
        <v>750</v>
      </c>
      <c r="F59">
        <v>8</v>
      </c>
      <c r="G59">
        <v>2015</v>
      </c>
    </row>
    <row r="60" spans="1:7">
      <c r="A60" t="s">
        <v>62</v>
      </c>
      <c r="B60" t="str">
        <f t="shared" si="5"/>
        <v>China</v>
      </c>
      <c r="C60" t="s">
        <v>15</v>
      </c>
      <c r="D60" t="s">
        <v>29</v>
      </c>
      <c r="E60">
        <v>1000</v>
      </c>
      <c r="F60">
        <v>10</v>
      </c>
      <c r="G60">
        <v>2015</v>
      </c>
    </row>
    <row r="61" spans="1:7">
      <c r="A61" t="s">
        <v>63</v>
      </c>
      <c r="B61" t="str">
        <f t="shared" si="5"/>
        <v>China</v>
      </c>
      <c r="C61" t="s">
        <v>15</v>
      </c>
      <c r="D61" t="s">
        <v>29</v>
      </c>
      <c r="E61">
        <v>0.9</v>
      </c>
      <c r="F61">
        <v>0.05</v>
      </c>
      <c r="G61">
        <v>2015</v>
      </c>
    </row>
    <row r="62" spans="1:7">
      <c r="A62" t="s">
        <v>64</v>
      </c>
      <c r="B62" t="str">
        <f t="shared" si="5"/>
        <v>China</v>
      </c>
      <c r="C62" t="s">
        <v>15</v>
      </c>
      <c r="D62" t="s">
        <v>29</v>
      </c>
      <c r="E62">
        <v>1000</v>
      </c>
      <c r="F62">
        <v>10</v>
      </c>
      <c r="G62">
        <v>2010</v>
      </c>
    </row>
    <row r="63" spans="1:7">
      <c r="A63" t="s">
        <v>67</v>
      </c>
      <c r="B63" t="str">
        <f t="shared" si="5"/>
        <v>China</v>
      </c>
      <c r="C63" t="s">
        <v>15</v>
      </c>
      <c r="D63" t="s">
        <v>29</v>
      </c>
      <c r="E63">
        <v>1000</v>
      </c>
      <c r="F63">
        <v>10</v>
      </c>
      <c r="G63">
        <v>2010</v>
      </c>
    </row>
    <row r="64" spans="1:7">
      <c r="A64" t="s">
        <v>68</v>
      </c>
      <c r="B64" t="str">
        <f t="shared" si="5"/>
        <v>China</v>
      </c>
      <c r="C64" t="s">
        <v>15</v>
      </c>
      <c r="D64" t="s">
        <v>29</v>
      </c>
      <c r="E64">
        <v>1000</v>
      </c>
      <c r="F64">
        <v>10</v>
      </c>
      <c r="G64">
        <v>2010</v>
      </c>
    </row>
    <row r="65" spans="1:7">
      <c r="A65" t="s">
        <v>64</v>
      </c>
      <c r="B65" t="str">
        <f t="shared" si="5"/>
        <v>China</v>
      </c>
      <c r="C65" t="s">
        <v>15</v>
      </c>
      <c r="D65" t="s">
        <v>29</v>
      </c>
      <c r="E65">
        <v>1000</v>
      </c>
      <c r="F65">
        <v>10</v>
      </c>
      <c r="G65">
        <v>2015</v>
      </c>
    </row>
    <row r="66" spans="1:7">
      <c r="A66" t="s">
        <v>67</v>
      </c>
      <c r="B66" t="str">
        <f t="shared" si="5"/>
        <v>China</v>
      </c>
      <c r="C66" t="s">
        <v>15</v>
      </c>
      <c r="D66" t="s">
        <v>29</v>
      </c>
      <c r="E66">
        <v>1000</v>
      </c>
      <c r="F66">
        <v>10</v>
      </c>
      <c r="G66">
        <v>2015</v>
      </c>
    </row>
    <row r="67" spans="1:7">
      <c r="A67" t="s">
        <v>68</v>
      </c>
      <c r="B67" t="str">
        <f t="shared" si="5"/>
        <v>China</v>
      </c>
      <c r="C67" t="s">
        <v>15</v>
      </c>
      <c r="D67" t="s">
        <v>29</v>
      </c>
      <c r="E67">
        <v>1000</v>
      </c>
      <c r="F67">
        <v>10</v>
      </c>
      <c r="G67">
        <v>2015</v>
      </c>
    </row>
    <row r="68" spans="1:7">
      <c r="A68" t="s">
        <v>71</v>
      </c>
      <c r="B68" t="str">
        <f t="shared" si="5"/>
        <v>China</v>
      </c>
      <c r="C68" t="s">
        <v>15</v>
      </c>
      <c r="D68" t="s">
        <v>29</v>
      </c>
      <c r="E68">
        <v>1000</v>
      </c>
      <c r="F68">
        <v>10</v>
      </c>
      <c r="G68">
        <v>2010</v>
      </c>
    </row>
    <row r="69" spans="1:7">
      <c r="A69" t="s">
        <v>71</v>
      </c>
      <c r="B69" t="str">
        <f t="shared" si="5"/>
        <v>China</v>
      </c>
      <c r="C69" t="s">
        <v>15</v>
      </c>
      <c r="D69" t="s">
        <v>29</v>
      </c>
      <c r="E69">
        <v>1000</v>
      </c>
      <c r="F69">
        <v>10</v>
      </c>
      <c r="G69">
        <v>2015</v>
      </c>
    </row>
    <row r="70" spans="1:7">
      <c r="A70" t="s">
        <v>72</v>
      </c>
      <c r="B70" t="str">
        <f t="shared" ref="B70:B85" si="6">B69</f>
        <v>China</v>
      </c>
      <c r="C70" t="s">
        <v>15</v>
      </c>
      <c r="D70" t="s">
        <v>29</v>
      </c>
      <c r="E70">
        <v>1000</v>
      </c>
      <c r="F70">
        <v>10</v>
      </c>
      <c r="G70">
        <v>2010</v>
      </c>
    </row>
    <row r="71" spans="1:7">
      <c r="A71" t="s">
        <v>72</v>
      </c>
      <c r="B71" t="str">
        <f t="shared" si="6"/>
        <v>China</v>
      </c>
      <c r="C71" t="s">
        <v>15</v>
      </c>
      <c r="D71" t="s">
        <v>29</v>
      </c>
      <c r="E71">
        <v>1000</v>
      </c>
      <c r="F71">
        <v>10</v>
      </c>
      <c r="G71">
        <v>2015</v>
      </c>
    </row>
    <row r="72" spans="1:7">
      <c r="A72" t="s">
        <v>73</v>
      </c>
      <c r="B72" t="str">
        <f t="shared" si="6"/>
        <v>China</v>
      </c>
      <c r="C72" t="s">
        <v>15</v>
      </c>
      <c r="D72" t="s">
        <v>29</v>
      </c>
      <c r="E72">
        <v>1000</v>
      </c>
      <c r="F72">
        <v>10</v>
      </c>
      <c r="G72">
        <v>2010</v>
      </c>
    </row>
    <row r="73" spans="1:7">
      <c r="A73" t="s">
        <v>73</v>
      </c>
      <c r="B73" t="str">
        <f t="shared" si="6"/>
        <v>China</v>
      </c>
      <c r="C73" t="s">
        <v>15</v>
      </c>
      <c r="D73" t="s">
        <v>29</v>
      </c>
      <c r="E73">
        <v>1000</v>
      </c>
      <c r="F73">
        <v>10</v>
      </c>
      <c r="G73">
        <v>2015</v>
      </c>
    </row>
    <row r="74" spans="1:7">
      <c r="A74" t="s">
        <v>75</v>
      </c>
      <c r="B74" t="str">
        <f t="shared" si="6"/>
        <v>China</v>
      </c>
      <c r="C74" t="s">
        <v>15</v>
      </c>
      <c r="D74" t="s">
        <v>29</v>
      </c>
      <c r="E74">
        <v>1000</v>
      </c>
      <c r="F74">
        <v>10</v>
      </c>
      <c r="G74">
        <v>2010</v>
      </c>
    </row>
    <row r="75" spans="1:7">
      <c r="A75" t="s">
        <v>75</v>
      </c>
      <c r="B75" t="str">
        <f t="shared" si="6"/>
        <v>China</v>
      </c>
      <c r="C75" t="s">
        <v>15</v>
      </c>
      <c r="D75" t="s">
        <v>29</v>
      </c>
      <c r="E75">
        <v>1000</v>
      </c>
      <c r="F75">
        <v>10</v>
      </c>
      <c r="G75">
        <v>2015</v>
      </c>
    </row>
    <row r="76" spans="1:7">
      <c r="A76" t="s">
        <v>79</v>
      </c>
      <c r="B76" t="str">
        <f t="shared" si="6"/>
        <v>China</v>
      </c>
      <c r="C76" t="s">
        <v>15</v>
      </c>
      <c r="D76" t="s">
        <v>29</v>
      </c>
      <c r="E76">
        <v>1000</v>
      </c>
      <c r="F76">
        <v>10</v>
      </c>
      <c r="G76">
        <v>2010</v>
      </c>
    </row>
    <row r="77" spans="1:7">
      <c r="A77" t="s">
        <v>79</v>
      </c>
      <c r="B77" t="str">
        <f t="shared" si="6"/>
        <v>China</v>
      </c>
      <c r="C77" t="s">
        <v>15</v>
      </c>
      <c r="D77" t="s">
        <v>29</v>
      </c>
      <c r="E77">
        <v>1000</v>
      </c>
      <c r="F77">
        <v>10</v>
      </c>
      <c r="G77">
        <v>2015</v>
      </c>
    </row>
    <row r="78" spans="1:7">
      <c r="A78" t="s">
        <v>80</v>
      </c>
      <c r="B78" t="str">
        <f t="shared" si="6"/>
        <v>China</v>
      </c>
      <c r="C78" t="s">
        <v>15</v>
      </c>
      <c r="D78" t="s">
        <v>29</v>
      </c>
      <c r="E78">
        <v>1000</v>
      </c>
      <c r="F78">
        <v>10</v>
      </c>
      <c r="G78">
        <v>2010</v>
      </c>
    </row>
    <row r="79" spans="1:7">
      <c r="A79" t="s">
        <v>80</v>
      </c>
      <c r="B79" t="str">
        <f t="shared" si="6"/>
        <v>China</v>
      </c>
      <c r="C79" t="s">
        <v>15</v>
      </c>
      <c r="D79" t="s">
        <v>29</v>
      </c>
      <c r="E79">
        <v>1000</v>
      </c>
      <c r="F79">
        <v>10</v>
      </c>
      <c r="G79">
        <v>2015</v>
      </c>
    </row>
    <row r="80" spans="1:7">
      <c r="A80" t="s">
        <v>81</v>
      </c>
      <c r="B80" t="str">
        <f t="shared" si="6"/>
        <v>China</v>
      </c>
      <c r="C80" t="s">
        <v>15</v>
      </c>
      <c r="D80" t="s">
        <v>29</v>
      </c>
      <c r="E80">
        <v>1000</v>
      </c>
      <c r="F80">
        <v>10</v>
      </c>
      <c r="G80">
        <v>2010</v>
      </c>
    </row>
    <row r="81" spans="1:7">
      <c r="A81" t="s">
        <v>81</v>
      </c>
      <c r="B81" t="str">
        <f t="shared" si="6"/>
        <v>China</v>
      </c>
      <c r="C81" t="s">
        <v>15</v>
      </c>
      <c r="D81" t="s">
        <v>29</v>
      </c>
      <c r="E81">
        <v>1000</v>
      </c>
      <c r="F81">
        <v>10</v>
      </c>
      <c r="G81">
        <v>2015</v>
      </c>
    </row>
    <row r="82" spans="1:7">
      <c r="A82" t="s">
        <v>86</v>
      </c>
      <c r="B82" t="str">
        <f t="shared" si="6"/>
        <v>China</v>
      </c>
      <c r="C82" t="s">
        <v>15</v>
      </c>
      <c r="D82" t="s">
        <v>29</v>
      </c>
      <c r="E82">
        <v>1000</v>
      </c>
      <c r="F82">
        <v>10</v>
      </c>
      <c r="G82">
        <v>2010</v>
      </c>
    </row>
    <row r="83" spans="1:7">
      <c r="A83" t="s">
        <v>86</v>
      </c>
      <c r="B83" t="str">
        <f t="shared" si="6"/>
        <v>China</v>
      </c>
      <c r="C83" t="s">
        <v>15</v>
      </c>
      <c r="D83" t="s">
        <v>29</v>
      </c>
      <c r="E83">
        <v>1000</v>
      </c>
      <c r="F83">
        <v>10</v>
      </c>
      <c r="G83">
        <v>2015</v>
      </c>
    </row>
    <row r="84" spans="1:7">
      <c r="A84" t="s">
        <v>87</v>
      </c>
      <c r="B84" t="str">
        <f t="shared" si="6"/>
        <v>China</v>
      </c>
      <c r="C84" t="s">
        <v>15</v>
      </c>
      <c r="D84" t="s">
        <v>29</v>
      </c>
      <c r="E84">
        <v>1000</v>
      </c>
      <c r="F84">
        <v>10</v>
      </c>
      <c r="G84">
        <v>2010</v>
      </c>
    </row>
    <row r="85" spans="1:7">
      <c r="A85" t="s">
        <v>87</v>
      </c>
      <c r="B85" t="str">
        <f t="shared" si="6"/>
        <v>China</v>
      </c>
      <c r="C85" t="s">
        <v>15</v>
      </c>
      <c r="D85" t="s">
        <v>29</v>
      </c>
      <c r="E85">
        <v>1000</v>
      </c>
      <c r="F85">
        <v>10</v>
      </c>
      <c r="G85">
        <v>2015</v>
      </c>
    </row>
    <row r="86" spans="1:7">
      <c r="A86" t="s">
        <v>89</v>
      </c>
      <c r="B86" t="str">
        <f t="shared" ref="B86:B101" si="7">B85</f>
        <v>China</v>
      </c>
      <c r="C86" t="s">
        <v>15</v>
      </c>
      <c r="D86" t="s">
        <v>29</v>
      </c>
      <c r="E86">
        <v>1000</v>
      </c>
      <c r="F86">
        <v>10</v>
      </c>
      <c r="G86">
        <v>2010</v>
      </c>
    </row>
    <row r="87" spans="1:7">
      <c r="A87" t="s">
        <v>89</v>
      </c>
      <c r="B87" t="str">
        <f t="shared" si="7"/>
        <v>China</v>
      </c>
      <c r="C87" t="s">
        <v>15</v>
      </c>
      <c r="D87" t="s">
        <v>29</v>
      </c>
      <c r="E87">
        <v>1000</v>
      </c>
      <c r="F87">
        <v>10</v>
      </c>
      <c r="G87">
        <v>2015</v>
      </c>
    </row>
    <row r="88" spans="1:7">
      <c r="A88" t="s">
        <v>92</v>
      </c>
      <c r="B88" t="str">
        <f t="shared" si="7"/>
        <v>China</v>
      </c>
      <c r="C88" t="s">
        <v>15</v>
      </c>
      <c r="D88" t="s">
        <v>29</v>
      </c>
      <c r="E88">
        <v>1000</v>
      </c>
      <c r="F88">
        <v>10</v>
      </c>
      <c r="G88">
        <v>2010</v>
      </c>
    </row>
    <row r="89" spans="1:7">
      <c r="A89" t="s">
        <v>92</v>
      </c>
      <c r="B89" t="str">
        <f t="shared" si="7"/>
        <v>China</v>
      </c>
      <c r="C89" t="s">
        <v>15</v>
      </c>
      <c r="D89" t="s">
        <v>29</v>
      </c>
      <c r="E89">
        <v>1000</v>
      </c>
      <c r="F89">
        <v>10</v>
      </c>
      <c r="G89">
        <v>2015</v>
      </c>
    </row>
    <row r="90" spans="1:7">
      <c r="A90" t="s">
        <v>95</v>
      </c>
      <c r="B90" t="str">
        <f t="shared" si="7"/>
        <v>China</v>
      </c>
      <c r="C90" t="s">
        <v>15</v>
      </c>
      <c r="D90" t="s">
        <v>29</v>
      </c>
      <c r="E90">
        <v>1000</v>
      </c>
      <c r="F90">
        <v>10</v>
      </c>
      <c r="G90">
        <v>2010</v>
      </c>
    </row>
    <row r="91" spans="1:7">
      <c r="A91" t="s">
        <v>95</v>
      </c>
      <c r="B91" t="str">
        <f t="shared" si="7"/>
        <v>China</v>
      </c>
      <c r="C91" t="s">
        <v>15</v>
      </c>
      <c r="D91" t="s">
        <v>29</v>
      </c>
      <c r="E91">
        <v>1000</v>
      </c>
      <c r="F91">
        <v>10</v>
      </c>
      <c r="G91">
        <v>2015</v>
      </c>
    </row>
    <row r="92" spans="1:7">
      <c r="A92" t="s">
        <v>97</v>
      </c>
      <c r="B92" t="str">
        <f t="shared" si="7"/>
        <v>China</v>
      </c>
      <c r="C92" t="s">
        <v>15</v>
      </c>
      <c r="D92" t="s">
        <v>29</v>
      </c>
      <c r="E92">
        <v>1000</v>
      </c>
      <c r="F92">
        <v>10</v>
      </c>
      <c r="G92">
        <v>2010</v>
      </c>
    </row>
    <row r="93" spans="1:7">
      <c r="A93" t="s">
        <v>97</v>
      </c>
      <c r="B93" t="str">
        <f t="shared" si="7"/>
        <v>China</v>
      </c>
      <c r="C93" t="s">
        <v>15</v>
      </c>
      <c r="D93" t="s">
        <v>29</v>
      </c>
      <c r="E93">
        <v>1000</v>
      </c>
      <c r="F93">
        <v>10</v>
      </c>
      <c r="G93">
        <v>2015</v>
      </c>
    </row>
    <row r="94" spans="1:7">
      <c r="A94" t="s">
        <v>98</v>
      </c>
      <c r="B94" t="str">
        <f t="shared" si="7"/>
        <v>China</v>
      </c>
      <c r="C94" t="s">
        <v>15</v>
      </c>
      <c r="D94" t="s">
        <v>29</v>
      </c>
      <c r="E94">
        <v>1000</v>
      </c>
      <c r="F94">
        <v>10</v>
      </c>
      <c r="G94">
        <v>2010</v>
      </c>
    </row>
    <row r="95" spans="1:7">
      <c r="A95" t="s">
        <v>98</v>
      </c>
      <c r="B95" t="str">
        <f t="shared" si="7"/>
        <v>China</v>
      </c>
      <c r="C95" t="s">
        <v>15</v>
      </c>
      <c r="D95" t="s">
        <v>29</v>
      </c>
      <c r="E95">
        <v>1000</v>
      </c>
      <c r="F95">
        <v>10</v>
      </c>
      <c r="G95">
        <v>2015</v>
      </c>
    </row>
    <row r="96" spans="1:7">
      <c r="A96" t="s">
        <v>99</v>
      </c>
      <c r="B96" t="str">
        <f t="shared" si="7"/>
        <v>China</v>
      </c>
      <c r="C96" t="s">
        <v>15</v>
      </c>
      <c r="D96" t="s">
        <v>29</v>
      </c>
      <c r="E96">
        <v>1000</v>
      </c>
      <c r="F96">
        <v>10</v>
      </c>
      <c r="G96">
        <v>2010</v>
      </c>
    </row>
    <row r="97" spans="1:7">
      <c r="A97" t="s">
        <v>99</v>
      </c>
      <c r="B97" t="str">
        <f t="shared" si="7"/>
        <v>China</v>
      </c>
      <c r="C97" t="s">
        <v>15</v>
      </c>
      <c r="D97" t="s">
        <v>29</v>
      </c>
      <c r="E97">
        <v>1000</v>
      </c>
      <c r="F97">
        <v>10</v>
      </c>
      <c r="G97">
        <v>2015</v>
      </c>
    </row>
    <row r="98" spans="1:7">
      <c r="A98" t="s">
        <v>100</v>
      </c>
      <c r="B98" t="str">
        <f t="shared" si="7"/>
        <v>China</v>
      </c>
      <c r="C98" t="s">
        <v>15</v>
      </c>
      <c r="D98" t="s">
        <v>29</v>
      </c>
      <c r="E98">
        <v>1000</v>
      </c>
      <c r="F98">
        <v>10</v>
      </c>
      <c r="G98">
        <v>2010</v>
      </c>
    </row>
    <row r="99" spans="1:7">
      <c r="A99" t="s">
        <v>100</v>
      </c>
      <c r="B99" t="str">
        <f t="shared" si="7"/>
        <v>China</v>
      </c>
      <c r="C99" t="s">
        <v>15</v>
      </c>
      <c r="D99" t="s">
        <v>29</v>
      </c>
      <c r="E99">
        <v>1000</v>
      </c>
      <c r="F99">
        <v>10</v>
      </c>
      <c r="G99">
        <v>2015</v>
      </c>
    </row>
    <row r="100" spans="1:7">
      <c r="A100" t="s">
        <v>101</v>
      </c>
      <c r="B100" t="str">
        <f t="shared" si="7"/>
        <v>China</v>
      </c>
      <c r="C100" t="s">
        <v>15</v>
      </c>
      <c r="D100" t="s">
        <v>29</v>
      </c>
      <c r="E100">
        <v>1000</v>
      </c>
      <c r="F100">
        <v>10</v>
      </c>
      <c r="G100">
        <v>2010</v>
      </c>
    </row>
    <row r="101" spans="1:7">
      <c r="A101" t="s">
        <v>101</v>
      </c>
      <c r="B101" t="str">
        <f t="shared" si="7"/>
        <v>China</v>
      </c>
      <c r="C101" t="s">
        <v>15</v>
      </c>
      <c r="D101" t="s">
        <v>29</v>
      </c>
      <c r="E101">
        <v>1000</v>
      </c>
      <c r="F101">
        <v>10</v>
      </c>
      <c r="G101">
        <v>2015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CA69-08F4-43B4-86A7-D697BB59CD69}">
  <dimension ref="A1:G9"/>
  <sheetViews>
    <sheetView workbookViewId="0"/>
  </sheetViews>
  <sheetFormatPr defaultRowHeight="15"/>
  <cols>
    <col min="1" max="1" width="29.5703125" customWidth="1"/>
  </cols>
  <sheetData>
    <row r="1" spans="1:7">
      <c r="A1" s="16" t="s">
        <v>52</v>
      </c>
      <c r="B1" s="16" t="s">
        <v>53</v>
      </c>
      <c r="C1" s="16" t="s">
        <v>54</v>
      </c>
      <c r="D1" s="16" t="s">
        <v>55</v>
      </c>
      <c r="E1" s="16" t="s">
        <v>56</v>
      </c>
      <c r="F1" s="16" t="s">
        <v>57</v>
      </c>
      <c r="G1" s="16" t="s">
        <v>58</v>
      </c>
    </row>
    <row r="2" spans="1:7">
      <c r="A2" t="s">
        <v>113</v>
      </c>
      <c r="B2" t="s">
        <v>225</v>
      </c>
      <c r="C2" t="s">
        <v>15</v>
      </c>
      <c r="D2" t="s">
        <v>114</v>
      </c>
      <c r="E2">
        <v>1</v>
      </c>
      <c r="F2">
        <v>0.1</v>
      </c>
      <c r="G2">
        <v>2010</v>
      </c>
    </row>
    <row r="3" spans="1:7">
      <c r="A3" t="s">
        <v>113</v>
      </c>
      <c r="B3" t="s">
        <v>225</v>
      </c>
      <c r="C3" t="s">
        <v>15</v>
      </c>
      <c r="D3" t="s">
        <v>114</v>
      </c>
      <c r="E3">
        <v>3</v>
      </c>
      <c r="F3">
        <f>(E3-E2)/5</f>
        <v>0.4</v>
      </c>
      <c r="G3">
        <v>2015</v>
      </c>
    </row>
    <row r="4" spans="1:7">
      <c r="A4" t="s">
        <v>107</v>
      </c>
      <c r="B4" t="s">
        <v>225</v>
      </c>
      <c r="C4" t="s">
        <v>15</v>
      </c>
      <c r="D4" t="s">
        <v>114</v>
      </c>
      <c r="E4">
        <v>4</v>
      </c>
      <c r="F4">
        <f>E4/10</f>
        <v>0.4</v>
      </c>
      <c r="G4">
        <v>2010</v>
      </c>
    </row>
    <row r="5" spans="1:7">
      <c r="A5" t="s">
        <v>107</v>
      </c>
      <c r="B5" t="s">
        <v>225</v>
      </c>
      <c r="C5" t="s">
        <v>15</v>
      </c>
      <c r="D5" t="s">
        <v>114</v>
      </c>
      <c r="E5">
        <v>8</v>
      </c>
      <c r="F5">
        <f>(E5-E4)/5</f>
        <v>0.8</v>
      </c>
      <c r="G5">
        <v>2015</v>
      </c>
    </row>
    <row r="6" spans="1:7">
      <c r="A6" t="s">
        <v>108</v>
      </c>
      <c r="B6" t="s">
        <v>225</v>
      </c>
      <c r="C6" t="s">
        <v>15</v>
      </c>
      <c r="D6" t="s">
        <v>114</v>
      </c>
      <c r="E6">
        <v>4</v>
      </c>
      <c r="F6">
        <f>E6/10</f>
        <v>0.4</v>
      </c>
      <c r="G6">
        <v>2010</v>
      </c>
    </row>
    <row r="7" spans="1:7">
      <c r="A7" t="s">
        <v>108</v>
      </c>
      <c r="B7" t="s">
        <v>225</v>
      </c>
      <c r="C7" t="s">
        <v>15</v>
      </c>
      <c r="D7" t="s">
        <v>114</v>
      </c>
      <c r="E7">
        <v>8</v>
      </c>
      <c r="F7">
        <f>(E7-E6)/5</f>
        <v>0.8</v>
      </c>
      <c r="G7">
        <v>2015</v>
      </c>
    </row>
    <row r="8" spans="1:7">
      <c r="A8" t="s">
        <v>109</v>
      </c>
      <c r="B8" t="s">
        <v>225</v>
      </c>
      <c r="C8" t="s">
        <v>15</v>
      </c>
      <c r="D8" t="s">
        <v>114</v>
      </c>
      <c r="E8">
        <v>1</v>
      </c>
      <c r="F8">
        <v>0.1</v>
      </c>
      <c r="G8">
        <v>2010</v>
      </c>
    </row>
    <row r="9" spans="1:7">
      <c r="A9" t="s">
        <v>109</v>
      </c>
      <c r="B9" t="s">
        <v>225</v>
      </c>
      <c r="C9" t="s">
        <v>15</v>
      </c>
      <c r="D9" t="s">
        <v>114</v>
      </c>
      <c r="E9">
        <v>3</v>
      </c>
      <c r="F9">
        <f>(E9-E8)/5</f>
        <v>0.4</v>
      </c>
      <c r="G9">
        <v>2015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E1BAD-2529-4D77-90AA-7D553BC6B3EC}">
  <dimension ref="A1:O222"/>
  <sheetViews>
    <sheetView tabSelected="1" zoomScale="115" zoomScaleNormal="115" workbookViewId="0">
      <selection activeCell="E2" sqref="E2:E222"/>
    </sheetView>
  </sheetViews>
  <sheetFormatPr defaultRowHeight="15"/>
  <cols>
    <col min="1" max="1" width="9.85546875" bestFit="1" customWidth="1"/>
    <col min="2" max="2" width="15.7109375" bestFit="1" customWidth="1"/>
    <col min="4" max="4" width="10" bestFit="1" customWidth="1"/>
  </cols>
  <sheetData>
    <row r="1" spans="1:15">
      <c r="A1" t="s">
        <v>245</v>
      </c>
      <c r="B1" t="s">
        <v>246</v>
      </c>
      <c r="C1" t="s">
        <v>520</v>
      </c>
      <c r="D1" t="s">
        <v>58</v>
      </c>
      <c r="E1" t="s">
        <v>115</v>
      </c>
      <c r="I1" s="2"/>
    </row>
    <row r="2" spans="1:15">
      <c r="A2" t="s">
        <v>290</v>
      </c>
      <c r="B2" t="s">
        <v>523</v>
      </c>
      <c r="C2" t="s">
        <v>550</v>
      </c>
      <c r="D2">
        <v>2025</v>
      </c>
      <c r="E2">
        <v>50</v>
      </c>
      <c r="I2" s="2"/>
    </row>
    <row r="3" spans="1:15">
      <c r="A3" t="s">
        <v>290</v>
      </c>
      <c r="B3" t="s">
        <v>523</v>
      </c>
      <c r="C3" t="s">
        <v>550</v>
      </c>
      <c r="D3">
        <f>D2+5</f>
        <v>2030</v>
      </c>
      <c r="E3">
        <v>50</v>
      </c>
      <c r="I3" s="2"/>
    </row>
    <row r="4" spans="1:15">
      <c r="A4" t="s">
        <v>290</v>
      </c>
      <c r="B4" t="s">
        <v>523</v>
      </c>
      <c r="C4" t="s">
        <v>550</v>
      </c>
      <c r="D4">
        <f t="shared" ref="D4:D9" si="0">D3+5</f>
        <v>2035</v>
      </c>
      <c r="E4">
        <v>50</v>
      </c>
      <c r="I4" s="2"/>
      <c r="O4" s="38"/>
    </row>
    <row r="5" spans="1:15">
      <c r="A5" t="s">
        <v>290</v>
      </c>
      <c r="B5" t="s">
        <v>523</v>
      </c>
      <c r="C5" t="s">
        <v>550</v>
      </c>
      <c r="D5">
        <f t="shared" si="0"/>
        <v>2040</v>
      </c>
      <c r="E5">
        <v>50</v>
      </c>
      <c r="I5" s="2"/>
    </row>
    <row r="6" spans="1:15">
      <c r="A6" t="s">
        <v>290</v>
      </c>
      <c r="B6" t="s">
        <v>523</v>
      </c>
      <c r="C6" t="s">
        <v>550</v>
      </c>
      <c r="D6">
        <f t="shared" si="0"/>
        <v>2045</v>
      </c>
      <c r="E6">
        <v>50</v>
      </c>
      <c r="I6" s="2"/>
    </row>
    <row r="7" spans="1:15">
      <c r="A7" t="s">
        <v>290</v>
      </c>
      <c r="B7" t="s">
        <v>523</v>
      </c>
      <c r="C7" t="s">
        <v>550</v>
      </c>
      <c r="D7">
        <f t="shared" si="0"/>
        <v>2050</v>
      </c>
      <c r="E7">
        <v>50</v>
      </c>
      <c r="I7" s="2"/>
    </row>
    <row r="8" spans="1:15">
      <c r="A8" t="s">
        <v>290</v>
      </c>
      <c r="B8" t="s">
        <v>523</v>
      </c>
      <c r="C8" t="s">
        <v>550</v>
      </c>
      <c r="D8">
        <f t="shared" si="0"/>
        <v>2055</v>
      </c>
      <c r="E8">
        <v>50</v>
      </c>
      <c r="I8" s="2"/>
    </row>
    <row r="9" spans="1:15">
      <c r="A9" t="s">
        <v>290</v>
      </c>
      <c r="B9" t="s">
        <v>523</v>
      </c>
      <c r="C9" t="s">
        <v>550</v>
      </c>
      <c r="D9">
        <f t="shared" si="0"/>
        <v>2060</v>
      </c>
      <c r="E9">
        <v>50</v>
      </c>
    </row>
    <row r="10" spans="1:15">
      <c r="A10" t="s">
        <v>290</v>
      </c>
      <c r="B10" t="s">
        <v>523</v>
      </c>
      <c r="C10" t="s">
        <v>550</v>
      </c>
      <c r="D10">
        <f>D9+10</f>
        <v>2070</v>
      </c>
      <c r="E10">
        <v>50</v>
      </c>
    </row>
    <row r="11" spans="1:15">
      <c r="A11" t="s">
        <v>290</v>
      </c>
      <c r="B11" t="s">
        <v>523</v>
      </c>
      <c r="C11" t="s">
        <v>550</v>
      </c>
      <c r="D11">
        <f t="shared" ref="D11:D13" si="1">D10+10</f>
        <v>2080</v>
      </c>
      <c r="E11">
        <v>50</v>
      </c>
    </row>
    <row r="12" spans="1:15">
      <c r="A12" t="s">
        <v>290</v>
      </c>
      <c r="B12" t="s">
        <v>523</v>
      </c>
      <c r="C12" t="s">
        <v>550</v>
      </c>
      <c r="D12">
        <f t="shared" si="1"/>
        <v>2090</v>
      </c>
      <c r="E12">
        <v>50</v>
      </c>
    </row>
    <row r="13" spans="1:15">
      <c r="A13" t="s">
        <v>290</v>
      </c>
      <c r="B13" t="s">
        <v>523</v>
      </c>
      <c r="C13" t="s">
        <v>550</v>
      </c>
      <c r="D13">
        <f t="shared" si="1"/>
        <v>2100</v>
      </c>
      <c r="E13">
        <v>50</v>
      </c>
    </row>
    <row r="14" spans="1:15">
      <c r="A14" t="s">
        <v>290</v>
      </c>
      <c r="B14" t="s">
        <v>523</v>
      </c>
      <c r="C14" t="s">
        <v>550</v>
      </c>
      <c r="D14">
        <f>D13+10</f>
        <v>2110</v>
      </c>
      <c r="E14">
        <v>50</v>
      </c>
    </row>
    <row r="15" spans="1:15">
      <c r="A15" t="s">
        <v>440</v>
      </c>
      <c r="B15" t="s">
        <v>523</v>
      </c>
      <c r="C15" t="s">
        <v>550</v>
      </c>
      <c r="D15">
        <v>2025</v>
      </c>
      <c r="E15">
        <v>50</v>
      </c>
    </row>
    <row r="16" spans="1:15">
      <c r="A16" t="s">
        <v>440</v>
      </c>
      <c r="B16" t="s">
        <v>523</v>
      </c>
      <c r="C16" t="s">
        <v>550</v>
      </c>
      <c r="D16">
        <f>D15+5</f>
        <v>2030</v>
      </c>
      <c r="E16">
        <v>50</v>
      </c>
    </row>
    <row r="17" spans="1:5">
      <c r="A17" t="s">
        <v>440</v>
      </c>
      <c r="B17" t="s">
        <v>523</v>
      </c>
      <c r="C17" t="s">
        <v>550</v>
      </c>
      <c r="D17">
        <f t="shared" ref="D17:D22" si="2">D16+5</f>
        <v>2035</v>
      </c>
      <c r="E17">
        <v>50</v>
      </c>
    </row>
    <row r="18" spans="1:5">
      <c r="A18" t="s">
        <v>440</v>
      </c>
      <c r="B18" t="s">
        <v>523</v>
      </c>
      <c r="C18" t="s">
        <v>550</v>
      </c>
      <c r="D18">
        <f t="shared" si="2"/>
        <v>2040</v>
      </c>
      <c r="E18">
        <v>50</v>
      </c>
    </row>
    <row r="19" spans="1:5">
      <c r="A19" t="s">
        <v>440</v>
      </c>
      <c r="B19" t="s">
        <v>523</v>
      </c>
      <c r="C19" t="s">
        <v>550</v>
      </c>
      <c r="D19">
        <f t="shared" si="2"/>
        <v>2045</v>
      </c>
      <c r="E19">
        <v>50</v>
      </c>
    </row>
    <row r="20" spans="1:5">
      <c r="A20" t="s">
        <v>440</v>
      </c>
      <c r="B20" t="s">
        <v>523</v>
      </c>
      <c r="C20" t="s">
        <v>550</v>
      </c>
      <c r="D20">
        <f t="shared" si="2"/>
        <v>2050</v>
      </c>
      <c r="E20">
        <v>50</v>
      </c>
    </row>
    <row r="21" spans="1:5">
      <c r="A21" t="s">
        <v>440</v>
      </c>
      <c r="B21" t="s">
        <v>523</v>
      </c>
      <c r="C21" t="s">
        <v>550</v>
      </c>
      <c r="D21">
        <f t="shared" si="2"/>
        <v>2055</v>
      </c>
      <c r="E21">
        <v>50</v>
      </c>
    </row>
    <row r="22" spans="1:5">
      <c r="A22" t="s">
        <v>440</v>
      </c>
      <c r="B22" t="s">
        <v>523</v>
      </c>
      <c r="C22" t="s">
        <v>550</v>
      </c>
      <c r="D22">
        <f t="shared" si="2"/>
        <v>2060</v>
      </c>
      <c r="E22">
        <v>50</v>
      </c>
    </row>
    <row r="23" spans="1:5">
      <c r="A23" t="s">
        <v>440</v>
      </c>
      <c r="B23" t="s">
        <v>523</v>
      </c>
      <c r="C23" t="s">
        <v>550</v>
      </c>
      <c r="D23">
        <f>D22+10</f>
        <v>2070</v>
      </c>
      <c r="E23">
        <v>50</v>
      </c>
    </row>
    <row r="24" spans="1:5">
      <c r="A24" t="s">
        <v>440</v>
      </c>
      <c r="B24" t="s">
        <v>523</v>
      </c>
      <c r="C24" t="s">
        <v>550</v>
      </c>
      <c r="D24">
        <f t="shared" ref="D24:D26" si="3">D23+10</f>
        <v>2080</v>
      </c>
      <c r="E24">
        <v>50</v>
      </c>
    </row>
    <row r="25" spans="1:5">
      <c r="A25" t="s">
        <v>440</v>
      </c>
      <c r="B25" t="s">
        <v>523</v>
      </c>
      <c r="C25" t="s">
        <v>550</v>
      </c>
      <c r="D25">
        <f t="shared" si="3"/>
        <v>2090</v>
      </c>
      <c r="E25">
        <v>50</v>
      </c>
    </row>
    <row r="26" spans="1:5">
      <c r="A26" t="s">
        <v>440</v>
      </c>
      <c r="B26" t="s">
        <v>523</v>
      </c>
      <c r="C26" t="s">
        <v>550</v>
      </c>
      <c r="D26">
        <f t="shared" si="3"/>
        <v>2100</v>
      </c>
      <c r="E26">
        <v>50</v>
      </c>
    </row>
    <row r="27" spans="1:5">
      <c r="A27" t="s">
        <v>440</v>
      </c>
      <c r="B27" t="s">
        <v>523</v>
      </c>
      <c r="C27" t="s">
        <v>550</v>
      </c>
      <c r="D27">
        <f>D26+10</f>
        <v>2110</v>
      </c>
      <c r="E27">
        <v>50</v>
      </c>
    </row>
    <row r="28" spans="1:5">
      <c r="A28" t="s">
        <v>450</v>
      </c>
      <c r="B28" t="s">
        <v>524</v>
      </c>
      <c r="C28" t="s">
        <v>550</v>
      </c>
      <c r="D28">
        <v>2025</v>
      </c>
      <c r="E28">
        <v>50</v>
      </c>
    </row>
    <row r="29" spans="1:5">
      <c r="A29" t="s">
        <v>450</v>
      </c>
      <c r="B29" t="s">
        <v>524</v>
      </c>
      <c r="C29" t="s">
        <v>550</v>
      </c>
      <c r="D29">
        <f>D28+5</f>
        <v>2030</v>
      </c>
      <c r="E29">
        <v>50</v>
      </c>
    </row>
    <row r="30" spans="1:5">
      <c r="A30" t="s">
        <v>450</v>
      </c>
      <c r="B30" t="s">
        <v>524</v>
      </c>
      <c r="C30" t="s">
        <v>550</v>
      </c>
      <c r="D30">
        <f t="shared" ref="D30:D35" si="4">D29+5</f>
        <v>2035</v>
      </c>
      <c r="E30">
        <v>50</v>
      </c>
    </row>
    <row r="31" spans="1:5">
      <c r="A31" t="s">
        <v>450</v>
      </c>
      <c r="B31" t="s">
        <v>524</v>
      </c>
      <c r="C31" t="s">
        <v>550</v>
      </c>
      <c r="D31">
        <f t="shared" si="4"/>
        <v>2040</v>
      </c>
      <c r="E31">
        <v>50</v>
      </c>
    </row>
    <row r="32" spans="1:5">
      <c r="A32" t="s">
        <v>450</v>
      </c>
      <c r="B32" t="s">
        <v>524</v>
      </c>
      <c r="C32" t="s">
        <v>550</v>
      </c>
      <c r="D32">
        <f t="shared" si="4"/>
        <v>2045</v>
      </c>
      <c r="E32">
        <v>50</v>
      </c>
    </row>
    <row r="33" spans="1:5">
      <c r="A33" t="s">
        <v>450</v>
      </c>
      <c r="B33" t="s">
        <v>524</v>
      </c>
      <c r="C33" t="s">
        <v>550</v>
      </c>
      <c r="D33">
        <f t="shared" si="4"/>
        <v>2050</v>
      </c>
      <c r="E33">
        <v>50</v>
      </c>
    </row>
    <row r="34" spans="1:5">
      <c r="A34" t="s">
        <v>450</v>
      </c>
      <c r="B34" t="s">
        <v>524</v>
      </c>
      <c r="C34" t="s">
        <v>550</v>
      </c>
      <c r="D34">
        <f t="shared" si="4"/>
        <v>2055</v>
      </c>
      <c r="E34">
        <v>50</v>
      </c>
    </row>
    <row r="35" spans="1:5">
      <c r="A35" t="s">
        <v>450</v>
      </c>
      <c r="B35" t="s">
        <v>524</v>
      </c>
      <c r="C35" t="s">
        <v>550</v>
      </c>
      <c r="D35">
        <f t="shared" si="4"/>
        <v>2060</v>
      </c>
      <c r="E35">
        <v>50</v>
      </c>
    </row>
    <row r="36" spans="1:5">
      <c r="A36" t="s">
        <v>450</v>
      </c>
      <c r="B36" t="s">
        <v>524</v>
      </c>
      <c r="C36" t="s">
        <v>550</v>
      </c>
      <c r="D36">
        <f>D35+10</f>
        <v>2070</v>
      </c>
      <c r="E36">
        <v>50</v>
      </c>
    </row>
    <row r="37" spans="1:5">
      <c r="A37" t="s">
        <v>450</v>
      </c>
      <c r="B37" t="s">
        <v>524</v>
      </c>
      <c r="C37" t="s">
        <v>550</v>
      </c>
      <c r="D37">
        <f t="shared" ref="D37:D39" si="5">D36+10</f>
        <v>2080</v>
      </c>
      <c r="E37">
        <v>50</v>
      </c>
    </row>
    <row r="38" spans="1:5">
      <c r="A38" t="s">
        <v>450</v>
      </c>
      <c r="B38" t="s">
        <v>524</v>
      </c>
      <c r="C38" t="s">
        <v>550</v>
      </c>
      <c r="D38">
        <f t="shared" si="5"/>
        <v>2090</v>
      </c>
      <c r="E38">
        <v>50</v>
      </c>
    </row>
    <row r="39" spans="1:5">
      <c r="A39" t="s">
        <v>450</v>
      </c>
      <c r="B39" t="s">
        <v>524</v>
      </c>
      <c r="C39" t="s">
        <v>550</v>
      </c>
      <c r="D39">
        <f t="shared" si="5"/>
        <v>2100</v>
      </c>
      <c r="E39">
        <v>50</v>
      </c>
    </row>
    <row r="40" spans="1:5">
      <c r="A40" t="s">
        <v>450</v>
      </c>
      <c r="B40" t="s">
        <v>524</v>
      </c>
      <c r="C40" t="s">
        <v>550</v>
      </c>
      <c r="D40">
        <f>D39+10</f>
        <v>2110</v>
      </c>
      <c r="E40">
        <v>50</v>
      </c>
    </row>
    <row r="41" spans="1:5">
      <c r="A41" t="s">
        <v>440</v>
      </c>
      <c r="B41" t="s">
        <v>524</v>
      </c>
      <c r="C41" t="s">
        <v>550</v>
      </c>
      <c r="D41">
        <v>2025</v>
      </c>
      <c r="E41">
        <v>50</v>
      </c>
    </row>
    <row r="42" spans="1:5">
      <c r="A42" t="s">
        <v>440</v>
      </c>
      <c r="B42" t="s">
        <v>524</v>
      </c>
      <c r="C42" t="s">
        <v>550</v>
      </c>
      <c r="D42">
        <f>D41+5</f>
        <v>2030</v>
      </c>
      <c r="E42">
        <v>50</v>
      </c>
    </row>
    <row r="43" spans="1:5">
      <c r="A43" t="s">
        <v>440</v>
      </c>
      <c r="B43" t="s">
        <v>524</v>
      </c>
      <c r="C43" t="s">
        <v>550</v>
      </c>
      <c r="D43">
        <f t="shared" ref="D43:D48" si="6">D42+5</f>
        <v>2035</v>
      </c>
      <c r="E43">
        <v>50</v>
      </c>
    </row>
    <row r="44" spans="1:5">
      <c r="A44" t="s">
        <v>440</v>
      </c>
      <c r="B44" t="s">
        <v>524</v>
      </c>
      <c r="C44" t="s">
        <v>550</v>
      </c>
      <c r="D44">
        <f t="shared" si="6"/>
        <v>2040</v>
      </c>
      <c r="E44">
        <v>50</v>
      </c>
    </row>
    <row r="45" spans="1:5">
      <c r="A45" t="s">
        <v>440</v>
      </c>
      <c r="B45" t="s">
        <v>524</v>
      </c>
      <c r="C45" t="s">
        <v>550</v>
      </c>
      <c r="D45">
        <f t="shared" si="6"/>
        <v>2045</v>
      </c>
      <c r="E45">
        <v>50</v>
      </c>
    </row>
    <row r="46" spans="1:5">
      <c r="A46" t="s">
        <v>440</v>
      </c>
      <c r="B46" t="s">
        <v>524</v>
      </c>
      <c r="C46" t="s">
        <v>550</v>
      </c>
      <c r="D46">
        <f t="shared" si="6"/>
        <v>2050</v>
      </c>
      <c r="E46">
        <v>50</v>
      </c>
    </row>
    <row r="47" spans="1:5">
      <c r="A47" t="s">
        <v>440</v>
      </c>
      <c r="B47" t="s">
        <v>524</v>
      </c>
      <c r="C47" t="s">
        <v>550</v>
      </c>
      <c r="D47">
        <f t="shared" si="6"/>
        <v>2055</v>
      </c>
      <c r="E47">
        <v>50</v>
      </c>
    </row>
    <row r="48" spans="1:5">
      <c r="A48" t="s">
        <v>440</v>
      </c>
      <c r="B48" t="s">
        <v>524</v>
      </c>
      <c r="C48" t="s">
        <v>550</v>
      </c>
      <c r="D48">
        <f t="shared" si="6"/>
        <v>2060</v>
      </c>
      <c r="E48">
        <v>50</v>
      </c>
    </row>
    <row r="49" spans="1:5">
      <c r="A49" t="s">
        <v>440</v>
      </c>
      <c r="B49" t="s">
        <v>524</v>
      </c>
      <c r="C49" t="s">
        <v>550</v>
      </c>
      <c r="D49">
        <f>D48+10</f>
        <v>2070</v>
      </c>
      <c r="E49">
        <v>50</v>
      </c>
    </row>
    <row r="50" spans="1:5">
      <c r="A50" t="s">
        <v>440</v>
      </c>
      <c r="B50" t="s">
        <v>524</v>
      </c>
      <c r="C50" t="s">
        <v>550</v>
      </c>
      <c r="D50">
        <f t="shared" ref="D50:D52" si="7">D49+10</f>
        <v>2080</v>
      </c>
      <c r="E50">
        <v>50</v>
      </c>
    </row>
    <row r="51" spans="1:5">
      <c r="A51" t="s">
        <v>440</v>
      </c>
      <c r="B51" t="s">
        <v>524</v>
      </c>
      <c r="C51" t="s">
        <v>550</v>
      </c>
      <c r="D51">
        <f t="shared" si="7"/>
        <v>2090</v>
      </c>
      <c r="E51">
        <v>50</v>
      </c>
    </row>
    <row r="52" spans="1:5">
      <c r="A52" t="s">
        <v>440</v>
      </c>
      <c r="B52" t="s">
        <v>524</v>
      </c>
      <c r="C52" t="s">
        <v>550</v>
      </c>
      <c r="D52">
        <f t="shared" si="7"/>
        <v>2100</v>
      </c>
      <c r="E52">
        <v>50</v>
      </c>
    </row>
    <row r="53" spans="1:5">
      <c r="A53" t="s">
        <v>440</v>
      </c>
      <c r="B53" t="s">
        <v>524</v>
      </c>
      <c r="C53" t="s">
        <v>550</v>
      </c>
      <c r="D53">
        <f>D52+10</f>
        <v>2110</v>
      </c>
      <c r="E53">
        <v>50</v>
      </c>
    </row>
    <row r="54" spans="1:5">
      <c r="A54" t="s">
        <v>446</v>
      </c>
      <c r="B54" t="s">
        <v>524</v>
      </c>
      <c r="C54" t="s">
        <v>550</v>
      </c>
      <c r="D54">
        <v>2025</v>
      </c>
      <c r="E54">
        <v>50</v>
      </c>
    </row>
    <row r="55" spans="1:5">
      <c r="A55" t="s">
        <v>446</v>
      </c>
      <c r="B55" t="s">
        <v>524</v>
      </c>
      <c r="C55" t="s">
        <v>550</v>
      </c>
      <c r="D55">
        <f>D54+5</f>
        <v>2030</v>
      </c>
      <c r="E55">
        <v>50</v>
      </c>
    </row>
    <row r="56" spans="1:5">
      <c r="A56" t="s">
        <v>446</v>
      </c>
      <c r="B56" t="s">
        <v>524</v>
      </c>
      <c r="C56" t="s">
        <v>550</v>
      </c>
      <c r="D56">
        <f t="shared" ref="D56:D61" si="8">D55+5</f>
        <v>2035</v>
      </c>
      <c r="E56">
        <v>50</v>
      </c>
    </row>
    <row r="57" spans="1:5">
      <c r="A57" t="s">
        <v>446</v>
      </c>
      <c r="B57" t="s">
        <v>524</v>
      </c>
      <c r="C57" t="s">
        <v>550</v>
      </c>
      <c r="D57">
        <f t="shared" si="8"/>
        <v>2040</v>
      </c>
      <c r="E57">
        <v>50</v>
      </c>
    </row>
    <row r="58" spans="1:5">
      <c r="A58" t="s">
        <v>446</v>
      </c>
      <c r="B58" t="s">
        <v>524</v>
      </c>
      <c r="C58" t="s">
        <v>550</v>
      </c>
      <c r="D58">
        <f t="shared" si="8"/>
        <v>2045</v>
      </c>
      <c r="E58">
        <v>50</v>
      </c>
    </row>
    <row r="59" spans="1:5">
      <c r="A59" t="s">
        <v>446</v>
      </c>
      <c r="B59" t="s">
        <v>524</v>
      </c>
      <c r="C59" t="s">
        <v>550</v>
      </c>
      <c r="D59">
        <f t="shared" si="8"/>
        <v>2050</v>
      </c>
      <c r="E59">
        <v>50</v>
      </c>
    </row>
    <row r="60" spans="1:5">
      <c r="A60" t="s">
        <v>446</v>
      </c>
      <c r="B60" t="s">
        <v>524</v>
      </c>
      <c r="C60" t="s">
        <v>550</v>
      </c>
      <c r="D60">
        <f t="shared" si="8"/>
        <v>2055</v>
      </c>
      <c r="E60">
        <v>50</v>
      </c>
    </row>
    <row r="61" spans="1:5">
      <c r="A61" t="s">
        <v>446</v>
      </c>
      <c r="B61" t="s">
        <v>524</v>
      </c>
      <c r="C61" t="s">
        <v>550</v>
      </c>
      <c r="D61">
        <f t="shared" si="8"/>
        <v>2060</v>
      </c>
      <c r="E61">
        <v>50</v>
      </c>
    </row>
    <row r="62" spans="1:5">
      <c r="A62" t="s">
        <v>446</v>
      </c>
      <c r="B62" t="s">
        <v>524</v>
      </c>
      <c r="C62" t="s">
        <v>550</v>
      </c>
      <c r="D62">
        <f>D61+10</f>
        <v>2070</v>
      </c>
      <c r="E62">
        <v>50</v>
      </c>
    </row>
    <row r="63" spans="1:5">
      <c r="A63" t="s">
        <v>446</v>
      </c>
      <c r="B63" t="s">
        <v>524</v>
      </c>
      <c r="C63" t="s">
        <v>550</v>
      </c>
      <c r="D63">
        <f t="shared" ref="D63:D65" si="9">D62+10</f>
        <v>2080</v>
      </c>
      <c r="E63">
        <v>50</v>
      </c>
    </row>
    <row r="64" spans="1:5">
      <c r="A64" t="s">
        <v>446</v>
      </c>
      <c r="B64" t="s">
        <v>524</v>
      </c>
      <c r="C64" t="s">
        <v>550</v>
      </c>
      <c r="D64">
        <f t="shared" si="9"/>
        <v>2090</v>
      </c>
      <c r="E64">
        <v>50</v>
      </c>
    </row>
    <row r="65" spans="1:5">
      <c r="A65" t="s">
        <v>446</v>
      </c>
      <c r="B65" t="s">
        <v>524</v>
      </c>
      <c r="C65" t="s">
        <v>550</v>
      </c>
      <c r="D65">
        <f t="shared" si="9"/>
        <v>2100</v>
      </c>
      <c r="E65">
        <v>50</v>
      </c>
    </row>
    <row r="66" spans="1:5">
      <c r="A66" t="s">
        <v>446</v>
      </c>
      <c r="B66" t="s">
        <v>524</v>
      </c>
      <c r="C66" t="s">
        <v>550</v>
      </c>
      <c r="D66">
        <f>D65+10</f>
        <v>2110</v>
      </c>
      <c r="E66">
        <v>50</v>
      </c>
    </row>
    <row r="67" spans="1:5">
      <c r="A67" t="s">
        <v>440</v>
      </c>
      <c r="B67" t="s">
        <v>525</v>
      </c>
      <c r="C67" t="s">
        <v>550</v>
      </c>
      <c r="D67">
        <v>2025</v>
      </c>
      <c r="E67">
        <v>50</v>
      </c>
    </row>
    <row r="68" spans="1:5">
      <c r="A68" t="s">
        <v>440</v>
      </c>
      <c r="B68" t="s">
        <v>525</v>
      </c>
      <c r="C68" t="s">
        <v>550</v>
      </c>
      <c r="D68">
        <f>D67+5</f>
        <v>2030</v>
      </c>
      <c r="E68">
        <v>50</v>
      </c>
    </row>
    <row r="69" spans="1:5">
      <c r="A69" t="s">
        <v>440</v>
      </c>
      <c r="B69" t="s">
        <v>525</v>
      </c>
      <c r="C69" t="s">
        <v>550</v>
      </c>
      <c r="D69">
        <f t="shared" ref="D69:D74" si="10">D68+5</f>
        <v>2035</v>
      </c>
      <c r="E69">
        <v>50</v>
      </c>
    </row>
    <row r="70" spans="1:5">
      <c r="A70" t="s">
        <v>440</v>
      </c>
      <c r="B70" t="s">
        <v>525</v>
      </c>
      <c r="C70" t="s">
        <v>550</v>
      </c>
      <c r="D70">
        <f t="shared" si="10"/>
        <v>2040</v>
      </c>
      <c r="E70">
        <v>50</v>
      </c>
    </row>
    <row r="71" spans="1:5">
      <c r="A71" t="s">
        <v>440</v>
      </c>
      <c r="B71" t="s">
        <v>525</v>
      </c>
      <c r="C71" t="s">
        <v>550</v>
      </c>
      <c r="D71">
        <f t="shared" si="10"/>
        <v>2045</v>
      </c>
      <c r="E71">
        <v>50</v>
      </c>
    </row>
    <row r="72" spans="1:5">
      <c r="A72" t="s">
        <v>440</v>
      </c>
      <c r="B72" t="s">
        <v>525</v>
      </c>
      <c r="C72" t="s">
        <v>550</v>
      </c>
      <c r="D72">
        <f t="shared" si="10"/>
        <v>2050</v>
      </c>
      <c r="E72">
        <v>50</v>
      </c>
    </row>
    <row r="73" spans="1:5">
      <c r="A73" t="s">
        <v>440</v>
      </c>
      <c r="B73" t="s">
        <v>525</v>
      </c>
      <c r="C73" t="s">
        <v>550</v>
      </c>
      <c r="D73">
        <f t="shared" si="10"/>
        <v>2055</v>
      </c>
      <c r="E73">
        <v>50</v>
      </c>
    </row>
    <row r="74" spans="1:5">
      <c r="A74" t="s">
        <v>440</v>
      </c>
      <c r="B74" t="s">
        <v>525</v>
      </c>
      <c r="C74" t="s">
        <v>550</v>
      </c>
      <c r="D74">
        <f t="shared" si="10"/>
        <v>2060</v>
      </c>
      <c r="E74">
        <v>50</v>
      </c>
    </row>
    <row r="75" spans="1:5">
      <c r="A75" t="s">
        <v>440</v>
      </c>
      <c r="B75" t="s">
        <v>525</v>
      </c>
      <c r="C75" t="s">
        <v>550</v>
      </c>
      <c r="D75">
        <f>D74+10</f>
        <v>2070</v>
      </c>
      <c r="E75">
        <v>50</v>
      </c>
    </row>
    <row r="76" spans="1:5">
      <c r="A76" t="s">
        <v>440</v>
      </c>
      <c r="B76" t="s">
        <v>525</v>
      </c>
      <c r="C76" t="s">
        <v>550</v>
      </c>
      <c r="D76">
        <f t="shared" ref="D76:D78" si="11">D75+10</f>
        <v>2080</v>
      </c>
      <c r="E76">
        <v>50</v>
      </c>
    </row>
    <row r="77" spans="1:5">
      <c r="A77" t="s">
        <v>440</v>
      </c>
      <c r="B77" t="s">
        <v>525</v>
      </c>
      <c r="C77" t="s">
        <v>550</v>
      </c>
      <c r="D77">
        <f t="shared" si="11"/>
        <v>2090</v>
      </c>
      <c r="E77">
        <v>50</v>
      </c>
    </row>
    <row r="78" spans="1:5">
      <c r="A78" t="s">
        <v>440</v>
      </c>
      <c r="B78" t="s">
        <v>525</v>
      </c>
      <c r="C78" t="s">
        <v>550</v>
      </c>
      <c r="D78">
        <f t="shared" si="11"/>
        <v>2100</v>
      </c>
      <c r="E78">
        <v>50</v>
      </c>
    </row>
    <row r="79" spans="1:5">
      <c r="A79" t="s">
        <v>440</v>
      </c>
      <c r="B79" t="s">
        <v>525</v>
      </c>
      <c r="C79" t="s">
        <v>550</v>
      </c>
      <c r="D79">
        <f>D78+10</f>
        <v>2110</v>
      </c>
      <c r="E79">
        <v>50</v>
      </c>
    </row>
    <row r="80" spans="1:5">
      <c r="A80" t="s">
        <v>441</v>
      </c>
      <c r="B80" t="s">
        <v>525</v>
      </c>
      <c r="C80" t="s">
        <v>550</v>
      </c>
      <c r="D80">
        <v>2025</v>
      </c>
      <c r="E80">
        <v>50</v>
      </c>
    </row>
    <row r="81" spans="1:5">
      <c r="A81" t="s">
        <v>441</v>
      </c>
      <c r="B81" t="s">
        <v>525</v>
      </c>
      <c r="C81" t="s">
        <v>550</v>
      </c>
      <c r="D81">
        <f>D80+5</f>
        <v>2030</v>
      </c>
      <c r="E81">
        <v>50</v>
      </c>
    </row>
    <row r="82" spans="1:5">
      <c r="A82" t="s">
        <v>441</v>
      </c>
      <c r="B82" t="s">
        <v>525</v>
      </c>
      <c r="C82" t="s">
        <v>550</v>
      </c>
      <c r="D82">
        <f t="shared" ref="D82:D87" si="12">D81+5</f>
        <v>2035</v>
      </c>
      <c r="E82">
        <v>50</v>
      </c>
    </row>
    <row r="83" spans="1:5">
      <c r="A83" t="s">
        <v>441</v>
      </c>
      <c r="B83" t="s">
        <v>525</v>
      </c>
      <c r="C83" t="s">
        <v>550</v>
      </c>
      <c r="D83">
        <f t="shared" si="12"/>
        <v>2040</v>
      </c>
      <c r="E83">
        <v>50</v>
      </c>
    </row>
    <row r="84" spans="1:5">
      <c r="A84" t="s">
        <v>441</v>
      </c>
      <c r="B84" t="s">
        <v>525</v>
      </c>
      <c r="C84" t="s">
        <v>550</v>
      </c>
      <c r="D84">
        <f t="shared" si="12"/>
        <v>2045</v>
      </c>
      <c r="E84">
        <v>50</v>
      </c>
    </row>
    <row r="85" spans="1:5">
      <c r="A85" t="s">
        <v>441</v>
      </c>
      <c r="B85" t="s">
        <v>525</v>
      </c>
      <c r="C85" t="s">
        <v>550</v>
      </c>
      <c r="D85">
        <f t="shared" si="12"/>
        <v>2050</v>
      </c>
      <c r="E85">
        <v>50</v>
      </c>
    </row>
    <row r="86" spans="1:5">
      <c r="A86" t="s">
        <v>441</v>
      </c>
      <c r="B86" t="s">
        <v>525</v>
      </c>
      <c r="C86" t="s">
        <v>550</v>
      </c>
      <c r="D86">
        <f t="shared" si="12"/>
        <v>2055</v>
      </c>
      <c r="E86">
        <v>50</v>
      </c>
    </row>
    <row r="87" spans="1:5">
      <c r="A87" t="s">
        <v>441</v>
      </c>
      <c r="B87" t="s">
        <v>525</v>
      </c>
      <c r="C87" t="s">
        <v>550</v>
      </c>
      <c r="D87">
        <f t="shared" si="12"/>
        <v>2060</v>
      </c>
      <c r="E87">
        <v>50</v>
      </c>
    </row>
    <row r="88" spans="1:5">
      <c r="A88" t="s">
        <v>441</v>
      </c>
      <c r="B88" t="s">
        <v>525</v>
      </c>
      <c r="C88" t="s">
        <v>550</v>
      </c>
      <c r="D88">
        <f>D87+10</f>
        <v>2070</v>
      </c>
      <c r="E88">
        <v>50</v>
      </c>
    </row>
    <row r="89" spans="1:5">
      <c r="A89" t="s">
        <v>441</v>
      </c>
      <c r="B89" t="s">
        <v>525</v>
      </c>
      <c r="C89" t="s">
        <v>550</v>
      </c>
      <c r="D89">
        <f t="shared" ref="D89:D91" si="13">D88+10</f>
        <v>2080</v>
      </c>
      <c r="E89">
        <v>50</v>
      </c>
    </row>
    <row r="90" spans="1:5">
      <c r="A90" t="s">
        <v>441</v>
      </c>
      <c r="B90" t="s">
        <v>525</v>
      </c>
      <c r="C90" t="s">
        <v>550</v>
      </c>
      <c r="D90">
        <f t="shared" si="13"/>
        <v>2090</v>
      </c>
      <c r="E90">
        <v>50</v>
      </c>
    </row>
    <row r="91" spans="1:5">
      <c r="A91" t="s">
        <v>441</v>
      </c>
      <c r="B91" t="s">
        <v>525</v>
      </c>
      <c r="C91" t="s">
        <v>550</v>
      </c>
      <c r="D91">
        <f t="shared" si="13"/>
        <v>2100</v>
      </c>
      <c r="E91">
        <v>50</v>
      </c>
    </row>
    <row r="92" spans="1:5">
      <c r="A92" t="s">
        <v>441</v>
      </c>
      <c r="B92" t="s">
        <v>525</v>
      </c>
      <c r="C92" t="s">
        <v>550</v>
      </c>
      <c r="D92">
        <f>D91+10</f>
        <v>2110</v>
      </c>
      <c r="E92">
        <v>50</v>
      </c>
    </row>
    <row r="93" spans="1:5">
      <c r="A93" t="s">
        <v>290</v>
      </c>
      <c r="B93" t="s">
        <v>526</v>
      </c>
      <c r="C93" t="s">
        <v>550</v>
      </c>
      <c r="D93">
        <v>2025</v>
      </c>
      <c r="E93">
        <v>50</v>
      </c>
    </row>
    <row r="94" spans="1:5">
      <c r="A94" t="s">
        <v>290</v>
      </c>
      <c r="B94" t="s">
        <v>526</v>
      </c>
      <c r="C94" t="s">
        <v>550</v>
      </c>
      <c r="D94">
        <f>D93+5</f>
        <v>2030</v>
      </c>
      <c r="E94">
        <v>50</v>
      </c>
    </row>
    <row r="95" spans="1:5">
      <c r="A95" t="s">
        <v>290</v>
      </c>
      <c r="B95" t="s">
        <v>526</v>
      </c>
      <c r="C95" t="s">
        <v>550</v>
      </c>
      <c r="D95">
        <f t="shared" ref="D95:D100" si="14">D94+5</f>
        <v>2035</v>
      </c>
      <c r="E95">
        <v>50</v>
      </c>
    </row>
    <row r="96" spans="1:5">
      <c r="A96" t="s">
        <v>290</v>
      </c>
      <c r="B96" t="s">
        <v>526</v>
      </c>
      <c r="C96" t="s">
        <v>550</v>
      </c>
      <c r="D96">
        <f t="shared" si="14"/>
        <v>2040</v>
      </c>
      <c r="E96">
        <v>50</v>
      </c>
    </row>
    <row r="97" spans="1:5">
      <c r="A97" t="s">
        <v>290</v>
      </c>
      <c r="B97" t="s">
        <v>526</v>
      </c>
      <c r="C97" t="s">
        <v>550</v>
      </c>
      <c r="D97">
        <f t="shared" si="14"/>
        <v>2045</v>
      </c>
      <c r="E97">
        <v>50</v>
      </c>
    </row>
    <row r="98" spans="1:5">
      <c r="A98" t="s">
        <v>290</v>
      </c>
      <c r="B98" t="s">
        <v>526</v>
      </c>
      <c r="C98" t="s">
        <v>550</v>
      </c>
      <c r="D98">
        <f t="shared" si="14"/>
        <v>2050</v>
      </c>
      <c r="E98">
        <v>50</v>
      </c>
    </row>
    <row r="99" spans="1:5">
      <c r="A99" t="s">
        <v>290</v>
      </c>
      <c r="B99" t="s">
        <v>526</v>
      </c>
      <c r="C99" t="s">
        <v>550</v>
      </c>
      <c r="D99">
        <f t="shared" si="14"/>
        <v>2055</v>
      </c>
      <c r="E99">
        <v>50</v>
      </c>
    </row>
    <row r="100" spans="1:5">
      <c r="A100" t="s">
        <v>290</v>
      </c>
      <c r="B100" t="s">
        <v>526</v>
      </c>
      <c r="C100" t="s">
        <v>550</v>
      </c>
      <c r="D100">
        <f t="shared" si="14"/>
        <v>2060</v>
      </c>
      <c r="E100">
        <v>50</v>
      </c>
    </row>
    <row r="101" spans="1:5">
      <c r="A101" t="s">
        <v>290</v>
      </c>
      <c r="B101" t="s">
        <v>526</v>
      </c>
      <c r="C101" t="s">
        <v>550</v>
      </c>
      <c r="D101">
        <f>D100+10</f>
        <v>2070</v>
      </c>
      <c r="E101">
        <v>50</v>
      </c>
    </row>
    <row r="102" spans="1:5">
      <c r="A102" t="s">
        <v>290</v>
      </c>
      <c r="B102" t="s">
        <v>526</v>
      </c>
      <c r="C102" t="s">
        <v>550</v>
      </c>
      <c r="D102">
        <f t="shared" ref="D102:D104" si="15">D101+10</f>
        <v>2080</v>
      </c>
      <c r="E102">
        <v>50</v>
      </c>
    </row>
    <row r="103" spans="1:5">
      <c r="A103" t="s">
        <v>290</v>
      </c>
      <c r="B103" t="s">
        <v>526</v>
      </c>
      <c r="C103" t="s">
        <v>550</v>
      </c>
      <c r="D103">
        <f t="shared" si="15"/>
        <v>2090</v>
      </c>
      <c r="E103">
        <v>50</v>
      </c>
    </row>
    <row r="104" spans="1:5">
      <c r="A104" t="s">
        <v>290</v>
      </c>
      <c r="B104" t="s">
        <v>526</v>
      </c>
      <c r="C104" t="s">
        <v>550</v>
      </c>
      <c r="D104">
        <f t="shared" si="15"/>
        <v>2100</v>
      </c>
      <c r="E104">
        <v>50</v>
      </c>
    </row>
    <row r="105" spans="1:5">
      <c r="A105" t="s">
        <v>290</v>
      </c>
      <c r="B105" t="s">
        <v>526</v>
      </c>
      <c r="C105" t="s">
        <v>550</v>
      </c>
      <c r="D105">
        <f>D104+10</f>
        <v>2110</v>
      </c>
      <c r="E105">
        <v>50</v>
      </c>
    </row>
    <row r="106" spans="1:5">
      <c r="A106" t="s">
        <v>440</v>
      </c>
      <c r="B106" t="s">
        <v>526</v>
      </c>
      <c r="C106" t="s">
        <v>550</v>
      </c>
      <c r="D106">
        <v>2025</v>
      </c>
      <c r="E106">
        <v>50</v>
      </c>
    </row>
    <row r="107" spans="1:5">
      <c r="A107" t="s">
        <v>440</v>
      </c>
      <c r="B107" t="s">
        <v>526</v>
      </c>
      <c r="C107" t="s">
        <v>550</v>
      </c>
      <c r="D107">
        <f>D106+5</f>
        <v>2030</v>
      </c>
      <c r="E107">
        <v>50</v>
      </c>
    </row>
    <row r="108" spans="1:5">
      <c r="A108" t="s">
        <v>440</v>
      </c>
      <c r="B108" t="s">
        <v>526</v>
      </c>
      <c r="C108" t="s">
        <v>550</v>
      </c>
      <c r="D108">
        <f t="shared" ref="D108:D113" si="16">D107+5</f>
        <v>2035</v>
      </c>
      <c r="E108">
        <v>50</v>
      </c>
    </row>
    <row r="109" spans="1:5">
      <c r="A109" t="s">
        <v>440</v>
      </c>
      <c r="B109" t="s">
        <v>526</v>
      </c>
      <c r="C109" t="s">
        <v>550</v>
      </c>
      <c r="D109">
        <f t="shared" si="16"/>
        <v>2040</v>
      </c>
      <c r="E109">
        <v>50</v>
      </c>
    </row>
    <row r="110" spans="1:5">
      <c r="A110" t="s">
        <v>440</v>
      </c>
      <c r="B110" t="s">
        <v>526</v>
      </c>
      <c r="C110" t="s">
        <v>550</v>
      </c>
      <c r="D110">
        <f t="shared" si="16"/>
        <v>2045</v>
      </c>
      <c r="E110">
        <v>50</v>
      </c>
    </row>
    <row r="111" spans="1:5">
      <c r="A111" t="s">
        <v>440</v>
      </c>
      <c r="B111" t="s">
        <v>526</v>
      </c>
      <c r="C111" t="s">
        <v>550</v>
      </c>
      <c r="D111">
        <f t="shared" si="16"/>
        <v>2050</v>
      </c>
      <c r="E111">
        <v>50</v>
      </c>
    </row>
    <row r="112" spans="1:5">
      <c r="A112" t="s">
        <v>440</v>
      </c>
      <c r="B112" t="s">
        <v>526</v>
      </c>
      <c r="C112" t="s">
        <v>550</v>
      </c>
      <c r="D112">
        <f t="shared" si="16"/>
        <v>2055</v>
      </c>
      <c r="E112">
        <v>50</v>
      </c>
    </row>
    <row r="113" spans="1:5">
      <c r="A113" t="s">
        <v>440</v>
      </c>
      <c r="B113" t="s">
        <v>526</v>
      </c>
      <c r="C113" t="s">
        <v>550</v>
      </c>
      <c r="D113">
        <f t="shared" si="16"/>
        <v>2060</v>
      </c>
      <c r="E113">
        <v>50</v>
      </c>
    </row>
    <row r="114" spans="1:5">
      <c r="A114" t="s">
        <v>440</v>
      </c>
      <c r="B114" t="s">
        <v>526</v>
      </c>
      <c r="C114" t="s">
        <v>550</v>
      </c>
      <c r="D114">
        <f>D113+10</f>
        <v>2070</v>
      </c>
      <c r="E114">
        <v>50</v>
      </c>
    </row>
    <row r="115" spans="1:5">
      <c r="A115" t="s">
        <v>440</v>
      </c>
      <c r="B115" t="s">
        <v>526</v>
      </c>
      <c r="C115" t="s">
        <v>550</v>
      </c>
      <c r="D115">
        <f t="shared" ref="D115:D117" si="17">D114+10</f>
        <v>2080</v>
      </c>
      <c r="E115">
        <v>50</v>
      </c>
    </row>
    <row r="116" spans="1:5">
      <c r="A116" t="s">
        <v>440</v>
      </c>
      <c r="B116" t="s">
        <v>526</v>
      </c>
      <c r="C116" t="s">
        <v>550</v>
      </c>
      <c r="D116">
        <f t="shared" si="17"/>
        <v>2090</v>
      </c>
      <c r="E116">
        <v>50</v>
      </c>
    </row>
    <row r="117" spans="1:5">
      <c r="A117" t="s">
        <v>440</v>
      </c>
      <c r="B117" t="s">
        <v>526</v>
      </c>
      <c r="C117" t="s">
        <v>550</v>
      </c>
      <c r="D117">
        <f t="shared" si="17"/>
        <v>2100</v>
      </c>
      <c r="E117">
        <v>50</v>
      </c>
    </row>
    <row r="118" spans="1:5">
      <c r="A118" t="s">
        <v>440</v>
      </c>
      <c r="B118" t="s">
        <v>526</v>
      </c>
      <c r="C118" t="s">
        <v>550</v>
      </c>
      <c r="D118">
        <f>D117+10</f>
        <v>2110</v>
      </c>
      <c r="E118">
        <v>50</v>
      </c>
    </row>
    <row r="119" spans="1:5">
      <c r="A119" t="s">
        <v>450</v>
      </c>
      <c r="B119" t="s">
        <v>526</v>
      </c>
      <c r="C119" t="s">
        <v>550</v>
      </c>
      <c r="D119">
        <v>2025</v>
      </c>
      <c r="E119">
        <v>50</v>
      </c>
    </row>
    <row r="120" spans="1:5">
      <c r="A120" t="s">
        <v>450</v>
      </c>
      <c r="B120" t="s">
        <v>526</v>
      </c>
      <c r="C120" t="s">
        <v>550</v>
      </c>
      <c r="D120">
        <f>D119+5</f>
        <v>2030</v>
      </c>
      <c r="E120">
        <v>50</v>
      </c>
    </row>
    <row r="121" spans="1:5">
      <c r="A121" t="s">
        <v>450</v>
      </c>
      <c r="B121" t="s">
        <v>526</v>
      </c>
      <c r="C121" t="s">
        <v>550</v>
      </c>
      <c r="D121">
        <f t="shared" ref="D121:D126" si="18">D120+5</f>
        <v>2035</v>
      </c>
      <c r="E121">
        <v>50</v>
      </c>
    </row>
    <row r="122" spans="1:5">
      <c r="A122" t="s">
        <v>450</v>
      </c>
      <c r="B122" t="s">
        <v>526</v>
      </c>
      <c r="C122" t="s">
        <v>550</v>
      </c>
      <c r="D122">
        <f t="shared" si="18"/>
        <v>2040</v>
      </c>
      <c r="E122">
        <v>50</v>
      </c>
    </row>
    <row r="123" spans="1:5">
      <c r="A123" t="s">
        <v>450</v>
      </c>
      <c r="B123" t="s">
        <v>526</v>
      </c>
      <c r="C123" t="s">
        <v>550</v>
      </c>
      <c r="D123">
        <f t="shared" si="18"/>
        <v>2045</v>
      </c>
      <c r="E123">
        <v>50</v>
      </c>
    </row>
    <row r="124" spans="1:5">
      <c r="A124" t="s">
        <v>450</v>
      </c>
      <c r="B124" t="s">
        <v>526</v>
      </c>
      <c r="C124" t="s">
        <v>550</v>
      </c>
      <c r="D124">
        <f t="shared" si="18"/>
        <v>2050</v>
      </c>
      <c r="E124">
        <v>50</v>
      </c>
    </row>
    <row r="125" spans="1:5">
      <c r="A125" t="s">
        <v>450</v>
      </c>
      <c r="B125" t="s">
        <v>526</v>
      </c>
      <c r="C125" t="s">
        <v>550</v>
      </c>
      <c r="D125">
        <f t="shared" si="18"/>
        <v>2055</v>
      </c>
      <c r="E125">
        <v>50</v>
      </c>
    </row>
    <row r="126" spans="1:5">
      <c r="A126" t="s">
        <v>450</v>
      </c>
      <c r="B126" t="s">
        <v>526</v>
      </c>
      <c r="C126" t="s">
        <v>550</v>
      </c>
      <c r="D126">
        <f t="shared" si="18"/>
        <v>2060</v>
      </c>
      <c r="E126">
        <v>50</v>
      </c>
    </row>
    <row r="127" spans="1:5">
      <c r="A127" t="s">
        <v>450</v>
      </c>
      <c r="B127" t="s">
        <v>526</v>
      </c>
      <c r="C127" t="s">
        <v>550</v>
      </c>
      <c r="D127">
        <f>D126+10</f>
        <v>2070</v>
      </c>
      <c r="E127">
        <v>50</v>
      </c>
    </row>
    <row r="128" spans="1:5">
      <c r="A128" t="s">
        <v>450</v>
      </c>
      <c r="B128" t="s">
        <v>526</v>
      </c>
      <c r="C128" t="s">
        <v>550</v>
      </c>
      <c r="D128">
        <f t="shared" ref="D128:D130" si="19">D127+10</f>
        <v>2080</v>
      </c>
      <c r="E128">
        <v>50</v>
      </c>
    </row>
    <row r="129" spans="1:5">
      <c r="A129" t="s">
        <v>450</v>
      </c>
      <c r="B129" t="s">
        <v>526</v>
      </c>
      <c r="C129" t="s">
        <v>550</v>
      </c>
      <c r="D129">
        <f t="shared" si="19"/>
        <v>2090</v>
      </c>
      <c r="E129">
        <v>50</v>
      </c>
    </row>
    <row r="130" spans="1:5">
      <c r="A130" t="s">
        <v>450</v>
      </c>
      <c r="B130" t="s">
        <v>526</v>
      </c>
      <c r="C130" t="s">
        <v>550</v>
      </c>
      <c r="D130">
        <f t="shared" si="19"/>
        <v>2100</v>
      </c>
      <c r="E130">
        <v>50</v>
      </c>
    </row>
    <row r="131" spans="1:5">
      <c r="A131" t="s">
        <v>450</v>
      </c>
      <c r="B131" t="s">
        <v>526</v>
      </c>
      <c r="C131" t="s">
        <v>550</v>
      </c>
      <c r="D131">
        <f>D130+10</f>
        <v>2110</v>
      </c>
      <c r="E131">
        <v>50</v>
      </c>
    </row>
    <row r="132" spans="1:5">
      <c r="A132" t="s">
        <v>441</v>
      </c>
      <c r="B132" t="s">
        <v>526</v>
      </c>
      <c r="C132" t="s">
        <v>550</v>
      </c>
      <c r="D132">
        <v>2025</v>
      </c>
      <c r="E132">
        <v>50</v>
      </c>
    </row>
    <row r="133" spans="1:5">
      <c r="A133" t="s">
        <v>441</v>
      </c>
      <c r="B133" t="s">
        <v>526</v>
      </c>
      <c r="C133" t="s">
        <v>550</v>
      </c>
      <c r="D133">
        <f>D132+5</f>
        <v>2030</v>
      </c>
      <c r="E133">
        <v>50</v>
      </c>
    </row>
    <row r="134" spans="1:5">
      <c r="A134" t="s">
        <v>441</v>
      </c>
      <c r="B134" t="s">
        <v>526</v>
      </c>
      <c r="C134" t="s">
        <v>550</v>
      </c>
      <c r="D134">
        <f t="shared" ref="D134:D139" si="20">D133+5</f>
        <v>2035</v>
      </c>
      <c r="E134">
        <v>50</v>
      </c>
    </row>
    <row r="135" spans="1:5">
      <c r="A135" t="s">
        <v>441</v>
      </c>
      <c r="B135" t="s">
        <v>526</v>
      </c>
      <c r="C135" t="s">
        <v>550</v>
      </c>
      <c r="D135">
        <f t="shared" si="20"/>
        <v>2040</v>
      </c>
      <c r="E135">
        <v>50</v>
      </c>
    </row>
    <row r="136" spans="1:5">
      <c r="A136" t="s">
        <v>441</v>
      </c>
      <c r="B136" t="s">
        <v>526</v>
      </c>
      <c r="C136" t="s">
        <v>550</v>
      </c>
      <c r="D136">
        <f t="shared" si="20"/>
        <v>2045</v>
      </c>
      <c r="E136">
        <v>50</v>
      </c>
    </row>
    <row r="137" spans="1:5">
      <c r="A137" t="s">
        <v>441</v>
      </c>
      <c r="B137" t="s">
        <v>526</v>
      </c>
      <c r="C137" t="s">
        <v>550</v>
      </c>
      <c r="D137">
        <f t="shared" si="20"/>
        <v>2050</v>
      </c>
      <c r="E137">
        <v>50</v>
      </c>
    </row>
    <row r="138" spans="1:5">
      <c r="A138" t="s">
        <v>441</v>
      </c>
      <c r="B138" t="s">
        <v>526</v>
      </c>
      <c r="C138" t="s">
        <v>550</v>
      </c>
      <c r="D138">
        <f t="shared" si="20"/>
        <v>2055</v>
      </c>
      <c r="E138">
        <v>50</v>
      </c>
    </row>
    <row r="139" spans="1:5">
      <c r="A139" t="s">
        <v>441</v>
      </c>
      <c r="B139" t="s">
        <v>526</v>
      </c>
      <c r="C139" t="s">
        <v>550</v>
      </c>
      <c r="D139">
        <f t="shared" si="20"/>
        <v>2060</v>
      </c>
      <c r="E139">
        <v>50</v>
      </c>
    </row>
    <row r="140" spans="1:5">
      <c r="A140" t="s">
        <v>441</v>
      </c>
      <c r="B140" t="s">
        <v>526</v>
      </c>
      <c r="C140" t="s">
        <v>550</v>
      </c>
      <c r="D140">
        <f>D139+10</f>
        <v>2070</v>
      </c>
      <c r="E140">
        <v>50</v>
      </c>
    </row>
    <row r="141" spans="1:5">
      <c r="A141" t="s">
        <v>441</v>
      </c>
      <c r="B141" t="s">
        <v>526</v>
      </c>
      <c r="C141" t="s">
        <v>550</v>
      </c>
      <c r="D141">
        <f t="shared" ref="D141:D143" si="21">D140+10</f>
        <v>2080</v>
      </c>
      <c r="E141">
        <v>50</v>
      </c>
    </row>
    <row r="142" spans="1:5">
      <c r="A142" t="s">
        <v>441</v>
      </c>
      <c r="B142" t="s">
        <v>526</v>
      </c>
      <c r="C142" t="s">
        <v>550</v>
      </c>
      <c r="D142">
        <f t="shared" si="21"/>
        <v>2090</v>
      </c>
      <c r="E142">
        <v>50</v>
      </c>
    </row>
    <row r="143" spans="1:5">
      <c r="A143" t="s">
        <v>441</v>
      </c>
      <c r="B143" t="s">
        <v>526</v>
      </c>
      <c r="C143" t="s">
        <v>550</v>
      </c>
      <c r="D143">
        <f t="shared" si="21"/>
        <v>2100</v>
      </c>
      <c r="E143">
        <v>50</v>
      </c>
    </row>
    <row r="144" spans="1:5">
      <c r="A144" t="s">
        <v>441</v>
      </c>
      <c r="B144" t="s">
        <v>526</v>
      </c>
      <c r="C144" t="s">
        <v>550</v>
      </c>
      <c r="D144">
        <f>D143+10</f>
        <v>2110</v>
      </c>
      <c r="E144">
        <v>50</v>
      </c>
    </row>
    <row r="145" spans="1:5">
      <c r="A145" t="s">
        <v>441</v>
      </c>
      <c r="B145" t="s">
        <v>14</v>
      </c>
      <c r="C145" t="s">
        <v>550</v>
      </c>
      <c r="D145">
        <v>2025</v>
      </c>
      <c r="E145">
        <v>50</v>
      </c>
    </row>
    <row r="146" spans="1:5">
      <c r="A146" t="s">
        <v>441</v>
      </c>
      <c r="B146" t="s">
        <v>14</v>
      </c>
      <c r="C146" t="s">
        <v>550</v>
      </c>
      <c r="D146">
        <f>D145+5</f>
        <v>2030</v>
      </c>
      <c r="E146">
        <v>50</v>
      </c>
    </row>
    <row r="147" spans="1:5">
      <c r="A147" t="s">
        <v>441</v>
      </c>
      <c r="B147" t="s">
        <v>14</v>
      </c>
      <c r="C147" t="s">
        <v>550</v>
      </c>
      <c r="D147">
        <f t="shared" ref="D147:D152" si="22">D146+5</f>
        <v>2035</v>
      </c>
      <c r="E147">
        <v>50</v>
      </c>
    </row>
    <row r="148" spans="1:5">
      <c r="A148" t="s">
        <v>441</v>
      </c>
      <c r="B148" t="s">
        <v>14</v>
      </c>
      <c r="C148" t="s">
        <v>550</v>
      </c>
      <c r="D148">
        <f t="shared" si="22"/>
        <v>2040</v>
      </c>
      <c r="E148">
        <v>50</v>
      </c>
    </row>
    <row r="149" spans="1:5">
      <c r="A149" t="s">
        <v>441</v>
      </c>
      <c r="B149" t="s">
        <v>14</v>
      </c>
      <c r="C149" t="s">
        <v>550</v>
      </c>
      <c r="D149">
        <f t="shared" si="22"/>
        <v>2045</v>
      </c>
      <c r="E149">
        <v>50</v>
      </c>
    </row>
    <row r="150" spans="1:5">
      <c r="A150" t="s">
        <v>441</v>
      </c>
      <c r="B150" t="s">
        <v>14</v>
      </c>
      <c r="C150" t="s">
        <v>550</v>
      </c>
      <c r="D150">
        <f t="shared" si="22"/>
        <v>2050</v>
      </c>
      <c r="E150">
        <v>50</v>
      </c>
    </row>
    <row r="151" spans="1:5">
      <c r="A151" t="s">
        <v>441</v>
      </c>
      <c r="B151" t="s">
        <v>14</v>
      </c>
      <c r="C151" t="s">
        <v>550</v>
      </c>
      <c r="D151">
        <f t="shared" si="22"/>
        <v>2055</v>
      </c>
      <c r="E151">
        <v>50</v>
      </c>
    </row>
    <row r="152" spans="1:5">
      <c r="A152" t="s">
        <v>441</v>
      </c>
      <c r="B152" t="s">
        <v>14</v>
      </c>
      <c r="C152" t="s">
        <v>550</v>
      </c>
      <c r="D152">
        <f t="shared" si="22"/>
        <v>2060</v>
      </c>
      <c r="E152">
        <v>50</v>
      </c>
    </row>
    <row r="153" spans="1:5">
      <c r="A153" t="s">
        <v>441</v>
      </c>
      <c r="B153" t="s">
        <v>14</v>
      </c>
      <c r="C153" t="s">
        <v>550</v>
      </c>
      <c r="D153">
        <f>D152+10</f>
        <v>2070</v>
      </c>
      <c r="E153">
        <v>50</v>
      </c>
    </row>
    <row r="154" spans="1:5">
      <c r="A154" t="s">
        <v>441</v>
      </c>
      <c r="B154" t="s">
        <v>14</v>
      </c>
      <c r="C154" t="s">
        <v>550</v>
      </c>
      <c r="D154">
        <f t="shared" ref="D154:D156" si="23">D153+10</f>
        <v>2080</v>
      </c>
      <c r="E154">
        <v>50</v>
      </c>
    </row>
    <row r="155" spans="1:5">
      <c r="A155" t="s">
        <v>441</v>
      </c>
      <c r="B155" t="s">
        <v>14</v>
      </c>
      <c r="C155" t="s">
        <v>550</v>
      </c>
      <c r="D155">
        <f t="shared" si="23"/>
        <v>2090</v>
      </c>
      <c r="E155">
        <v>50</v>
      </c>
    </row>
    <row r="156" spans="1:5">
      <c r="A156" t="s">
        <v>441</v>
      </c>
      <c r="B156" t="s">
        <v>14</v>
      </c>
      <c r="C156" t="s">
        <v>550</v>
      </c>
      <c r="D156">
        <f t="shared" si="23"/>
        <v>2100</v>
      </c>
      <c r="E156">
        <v>50</v>
      </c>
    </row>
    <row r="157" spans="1:5">
      <c r="A157" t="s">
        <v>441</v>
      </c>
      <c r="B157" t="s">
        <v>14</v>
      </c>
      <c r="C157" t="s">
        <v>550</v>
      </c>
      <c r="D157">
        <f>D156+10</f>
        <v>2110</v>
      </c>
      <c r="E157">
        <v>50</v>
      </c>
    </row>
    <row r="158" spans="1:5">
      <c r="A158" t="s">
        <v>290</v>
      </c>
      <c r="B158" t="s">
        <v>14</v>
      </c>
      <c r="C158" t="s">
        <v>550</v>
      </c>
      <c r="D158">
        <v>2025</v>
      </c>
      <c r="E158">
        <v>50</v>
      </c>
    </row>
    <row r="159" spans="1:5">
      <c r="A159" t="s">
        <v>290</v>
      </c>
      <c r="B159" t="s">
        <v>14</v>
      </c>
      <c r="C159" t="s">
        <v>550</v>
      </c>
      <c r="D159">
        <f>D158+5</f>
        <v>2030</v>
      </c>
      <c r="E159">
        <v>50</v>
      </c>
    </row>
    <row r="160" spans="1:5">
      <c r="A160" t="s">
        <v>290</v>
      </c>
      <c r="B160" t="s">
        <v>14</v>
      </c>
      <c r="C160" t="s">
        <v>550</v>
      </c>
      <c r="D160">
        <f t="shared" ref="D160:D165" si="24">D159+5</f>
        <v>2035</v>
      </c>
      <c r="E160">
        <v>50</v>
      </c>
    </row>
    <row r="161" spans="1:5">
      <c r="A161" t="s">
        <v>290</v>
      </c>
      <c r="B161" t="s">
        <v>14</v>
      </c>
      <c r="C161" t="s">
        <v>550</v>
      </c>
      <c r="D161">
        <f t="shared" si="24"/>
        <v>2040</v>
      </c>
      <c r="E161">
        <v>50</v>
      </c>
    </row>
    <row r="162" spans="1:5">
      <c r="A162" t="s">
        <v>290</v>
      </c>
      <c r="B162" t="s">
        <v>14</v>
      </c>
      <c r="C162" t="s">
        <v>550</v>
      </c>
      <c r="D162">
        <f t="shared" si="24"/>
        <v>2045</v>
      </c>
      <c r="E162">
        <v>50</v>
      </c>
    </row>
    <row r="163" spans="1:5">
      <c r="A163" t="s">
        <v>290</v>
      </c>
      <c r="B163" t="s">
        <v>14</v>
      </c>
      <c r="C163" t="s">
        <v>550</v>
      </c>
      <c r="D163">
        <f t="shared" si="24"/>
        <v>2050</v>
      </c>
      <c r="E163">
        <v>50</v>
      </c>
    </row>
    <row r="164" spans="1:5">
      <c r="A164" t="s">
        <v>290</v>
      </c>
      <c r="B164" t="s">
        <v>14</v>
      </c>
      <c r="C164" t="s">
        <v>550</v>
      </c>
      <c r="D164">
        <f t="shared" si="24"/>
        <v>2055</v>
      </c>
      <c r="E164">
        <v>50</v>
      </c>
    </row>
    <row r="165" spans="1:5">
      <c r="A165" t="s">
        <v>290</v>
      </c>
      <c r="B165" t="s">
        <v>14</v>
      </c>
      <c r="C165" t="s">
        <v>550</v>
      </c>
      <c r="D165">
        <f t="shared" si="24"/>
        <v>2060</v>
      </c>
      <c r="E165">
        <v>50</v>
      </c>
    </row>
    <row r="166" spans="1:5">
      <c r="A166" t="s">
        <v>290</v>
      </c>
      <c r="B166" t="s">
        <v>14</v>
      </c>
      <c r="C166" t="s">
        <v>550</v>
      </c>
      <c r="D166">
        <f>D165+10</f>
        <v>2070</v>
      </c>
      <c r="E166">
        <v>50</v>
      </c>
    </row>
    <row r="167" spans="1:5">
      <c r="A167" t="s">
        <v>290</v>
      </c>
      <c r="B167" t="s">
        <v>14</v>
      </c>
      <c r="C167" t="s">
        <v>550</v>
      </c>
      <c r="D167">
        <f t="shared" ref="D167:D169" si="25">D166+10</f>
        <v>2080</v>
      </c>
      <c r="E167">
        <v>50</v>
      </c>
    </row>
    <row r="168" spans="1:5">
      <c r="A168" t="s">
        <v>290</v>
      </c>
      <c r="B168" t="s">
        <v>14</v>
      </c>
      <c r="C168" t="s">
        <v>550</v>
      </c>
      <c r="D168">
        <f t="shared" si="25"/>
        <v>2090</v>
      </c>
      <c r="E168">
        <v>50</v>
      </c>
    </row>
    <row r="169" spans="1:5">
      <c r="A169" t="s">
        <v>290</v>
      </c>
      <c r="B169" t="s">
        <v>14</v>
      </c>
      <c r="C169" t="s">
        <v>550</v>
      </c>
      <c r="D169">
        <f t="shared" si="25"/>
        <v>2100</v>
      </c>
      <c r="E169">
        <v>50</v>
      </c>
    </row>
    <row r="170" spans="1:5">
      <c r="A170" t="s">
        <v>290</v>
      </c>
      <c r="B170" t="s">
        <v>14</v>
      </c>
      <c r="C170" t="s">
        <v>550</v>
      </c>
      <c r="D170">
        <f>D169+10</f>
        <v>2110</v>
      </c>
      <c r="E170">
        <v>50</v>
      </c>
    </row>
    <row r="171" spans="1:5">
      <c r="A171" t="s">
        <v>446</v>
      </c>
      <c r="B171" t="s">
        <v>14</v>
      </c>
      <c r="C171" t="s">
        <v>550</v>
      </c>
      <c r="D171">
        <v>2025</v>
      </c>
      <c r="E171">
        <v>50</v>
      </c>
    </row>
    <row r="172" spans="1:5">
      <c r="A172" t="s">
        <v>446</v>
      </c>
      <c r="B172" t="s">
        <v>14</v>
      </c>
      <c r="C172" t="s">
        <v>550</v>
      </c>
      <c r="D172">
        <f>D171+5</f>
        <v>2030</v>
      </c>
      <c r="E172">
        <v>50</v>
      </c>
    </row>
    <row r="173" spans="1:5">
      <c r="A173" t="s">
        <v>446</v>
      </c>
      <c r="B173" t="s">
        <v>14</v>
      </c>
      <c r="C173" t="s">
        <v>550</v>
      </c>
      <c r="D173">
        <f t="shared" ref="D173:D178" si="26">D172+5</f>
        <v>2035</v>
      </c>
      <c r="E173">
        <v>50</v>
      </c>
    </row>
    <row r="174" spans="1:5">
      <c r="A174" t="s">
        <v>446</v>
      </c>
      <c r="B174" t="s">
        <v>14</v>
      </c>
      <c r="C174" t="s">
        <v>550</v>
      </c>
      <c r="D174">
        <f t="shared" si="26"/>
        <v>2040</v>
      </c>
      <c r="E174">
        <v>50</v>
      </c>
    </row>
    <row r="175" spans="1:5">
      <c r="A175" t="s">
        <v>446</v>
      </c>
      <c r="B175" t="s">
        <v>14</v>
      </c>
      <c r="C175" t="s">
        <v>550</v>
      </c>
      <c r="D175">
        <f t="shared" si="26"/>
        <v>2045</v>
      </c>
      <c r="E175">
        <v>50</v>
      </c>
    </row>
    <row r="176" spans="1:5">
      <c r="A176" t="s">
        <v>446</v>
      </c>
      <c r="B176" t="s">
        <v>14</v>
      </c>
      <c r="C176" t="s">
        <v>550</v>
      </c>
      <c r="D176">
        <f t="shared" si="26"/>
        <v>2050</v>
      </c>
      <c r="E176">
        <v>50</v>
      </c>
    </row>
    <row r="177" spans="1:5">
      <c r="A177" t="s">
        <v>446</v>
      </c>
      <c r="B177" t="s">
        <v>14</v>
      </c>
      <c r="C177" t="s">
        <v>550</v>
      </c>
      <c r="D177">
        <f t="shared" si="26"/>
        <v>2055</v>
      </c>
      <c r="E177">
        <v>50</v>
      </c>
    </row>
    <row r="178" spans="1:5">
      <c r="A178" t="s">
        <v>446</v>
      </c>
      <c r="B178" t="s">
        <v>14</v>
      </c>
      <c r="C178" t="s">
        <v>550</v>
      </c>
      <c r="D178">
        <f t="shared" si="26"/>
        <v>2060</v>
      </c>
      <c r="E178">
        <v>50</v>
      </c>
    </row>
    <row r="179" spans="1:5">
      <c r="A179" t="s">
        <v>446</v>
      </c>
      <c r="B179" t="s">
        <v>14</v>
      </c>
      <c r="C179" t="s">
        <v>550</v>
      </c>
      <c r="D179">
        <f>D178+10</f>
        <v>2070</v>
      </c>
      <c r="E179">
        <v>50</v>
      </c>
    </row>
    <row r="180" spans="1:5">
      <c r="A180" t="s">
        <v>446</v>
      </c>
      <c r="B180" t="s">
        <v>14</v>
      </c>
      <c r="C180" t="s">
        <v>550</v>
      </c>
      <c r="D180">
        <f t="shared" ref="D180:D182" si="27">D179+10</f>
        <v>2080</v>
      </c>
      <c r="E180">
        <v>50</v>
      </c>
    </row>
    <row r="181" spans="1:5">
      <c r="A181" t="s">
        <v>446</v>
      </c>
      <c r="B181" t="s">
        <v>14</v>
      </c>
      <c r="C181" t="s">
        <v>550</v>
      </c>
      <c r="D181">
        <f t="shared" si="27"/>
        <v>2090</v>
      </c>
      <c r="E181">
        <v>50</v>
      </c>
    </row>
    <row r="182" spans="1:5">
      <c r="A182" t="s">
        <v>446</v>
      </c>
      <c r="B182" t="s">
        <v>14</v>
      </c>
      <c r="C182" t="s">
        <v>550</v>
      </c>
      <c r="D182">
        <f t="shared" si="27"/>
        <v>2100</v>
      </c>
      <c r="E182">
        <v>50</v>
      </c>
    </row>
    <row r="183" spans="1:5">
      <c r="A183" t="s">
        <v>446</v>
      </c>
      <c r="B183" t="s">
        <v>14</v>
      </c>
      <c r="C183" t="s">
        <v>550</v>
      </c>
      <c r="D183">
        <f>D182+10</f>
        <v>2110</v>
      </c>
      <c r="E183">
        <v>50</v>
      </c>
    </row>
    <row r="184" spans="1:5">
      <c r="A184" t="s">
        <v>447</v>
      </c>
      <c r="B184" t="s">
        <v>14</v>
      </c>
      <c r="C184" t="s">
        <v>550</v>
      </c>
      <c r="D184">
        <v>2025</v>
      </c>
      <c r="E184">
        <v>50</v>
      </c>
    </row>
    <row r="185" spans="1:5">
      <c r="A185" t="s">
        <v>447</v>
      </c>
      <c r="B185" t="s">
        <v>14</v>
      </c>
      <c r="C185" t="s">
        <v>550</v>
      </c>
      <c r="D185">
        <f>D184+5</f>
        <v>2030</v>
      </c>
      <c r="E185">
        <v>50</v>
      </c>
    </row>
    <row r="186" spans="1:5">
      <c r="A186" t="s">
        <v>447</v>
      </c>
      <c r="B186" t="s">
        <v>14</v>
      </c>
      <c r="C186" t="s">
        <v>550</v>
      </c>
      <c r="D186">
        <f t="shared" ref="D186:D191" si="28">D185+5</f>
        <v>2035</v>
      </c>
      <c r="E186">
        <v>50</v>
      </c>
    </row>
    <row r="187" spans="1:5">
      <c r="A187" t="s">
        <v>447</v>
      </c>
      <c r="B187" t="s">
        <v>14</v>
      </c>
      <c r="C187" t="s">
        <v>550</v>
      </c>
      <c r="D187">
        <f t="shared" si="28"/>
        <v>2040</v>
      </c>
      <c r="E187">
        <v>50</v>
      </c>
    </row>
    <row r="188" spans="1:5">
      <c r="A188" t="s">
        <v>447</v>
      </c>
      <c r="B188" t="s">
        <v>14</v>
      </c>
      <c r="C188" t="s">
        <v>550</v>
      </c>
      <c r="D188">
        <f t="shared" si="28"/>
        <v>2045</v>
      </c>
      <c r="E188">
        <v>50</v>
      </c>
    </row>
    <row r="189" spans="1:5">
      <c r="A189" t="s">
        <v>447</v>
      </c>
      <c r="B189" t="s">
        <v>14</v>
      </c>
      <c r="C189" t="s">
        <v>550</v>
      </c>
      <c r="D189">
        <f t="shared" si="28"/>
        <v>2050</v>
      </c>
      <c r="E189">
        <v>50</v>
      </c>
    </row>
    <row r="190" spans="1:5">
      <c r="A190" t="s">
        <v>447</v>
      </c>
      <c r="B190" t="s">
        <v>14</v>
      </c>
      <c r="C190" t="s">
        <v>550</v>
      </c>
      <c r="D190">
        <f t="shared" si="28"/>
        <v>2055</v>
      </c>
      <c r="E190">
        <v>50</v>
      </c>
    </row>
    <row r="191" spans="1:5">
      <c r="A191" t="s">
        <v>447</v>
      </c>
      <c r="B191" t="s">
        <v>14</v>
      </c>
      <c r="C191" t="s">
        <v>550</v>
      </c>
      <c r="D191">
        <f t="shared" si="28"/>
        <v>2060</v>
      </c>
      <c r="E191">
        <v>50</v>
      </c>
    </row>
    <row r="192" spans="1:5">
      <c r="A192" t="s">
        <v>447</v>
      </c>
      <c r="B192" t="s">
        <v>14</v>
      </c>
      <c r="C192" t="s">
        <v>550</v>
      </c>
      <c r="D192">
        <f>D191+10</f>
        <v>2070</v>
      </c>
      <c r="E192">
        <v>50</v>
      </c>
    </row>
    <row r="193" spans="1:5">
      <c r="A193" t="s">
        <v>447</v>
      </c>
      <c r="B193" t="s">
        <v>14</v>
      </c>
      <c r="C193" t="s">
        <v>550</v>
      </c>
      <c r="D193">
        <f t="shared" ref="D193:D195" si="29">D192+10</f>
        <v>2080</v>
      </c>
      <c r="E193">
        <v>50</v>
      </c>
    </row>
    <row r="194" spans="1:5">
      <c r="A194" t="s">
        <v>447</v>
      </c>
      <c r="B194" t="s">
        <v>14</v>
      </c>
      <c r="C194" t="s">
        <v>550</v>
      </c>
      <c r="D194">
        <f t="shared" si="29"/>
        <v>2090</v>
      </c>
      <c r="E194">
        <v>50</v>
      </c>
    </row>
    <row r="195" spans="1:5">
      <c r="A195" t="s">
        <v>447</v>
      </c>
      <c r="B195" t="s">
        <v>14</v>
      </c>
      <c r="C195" t="s">
        <v>550</v>
      </c>
      <c r="D195">
        <f t="shared" si="29"/>
        <v>2100</v>
      </c>
      <c r="E195">
        <v>50</v>
      </c>
    </row>
    <row r="196" spans="1:5">
      <c r="A196" t="s">
        <v>447</v>
      </c>
      <c r="B196" t="s">
        <v>14</v>
      </c>
      <c r="C196" t="s">
        <v>550</v>
      </c>
      <c r="D196">
        <f>D195+10</f>
        <v>2110</v>
      </c>
      <c r="E196">
        <v>50</v>
      </c>
    </row>
    <row r="197" spans="1:5">
      <c r="A197" t="s">
        <v>446</v>
      </c>
      <c r="B197" t="s">
        <v>522</v>
      </c>
      <c r="C197" t="s">
        <v>550</v>
      </c>
      <c r="D197">
        <v>2025</v>
      </c>
      <c r="E197">
        <v>50</v>
      </c>
    </row>
    <row r="198" spans="1:5">
      <c r="A198" t="s">
        <v>446</v>
      </c>
      <c r="B198" t="s">
        <v>522</v>
      </c>
      <c r="C198" t="s">
        <v>550</v>
      </c>
      <c r="D198">
        <f>D197+5</f>
        <v>2030</v>
      </c>
      <c r="E198">
        <v>50</v>
      </c>
    </row>
    <row r="199" spans="1:5">
      <c r="A199" t="s">
        <v>446</v>
      </c>
      <c r="B199" t="s">
        <v>522</v>
      </c>
      <c r="C199" t="s">
        <v>550</v>
      </c>
      <c r="D199">
        <f t="shared" ref="D199:D204" si="30">D198+5</f>
        <v>2035</v>
      </c>
      <c r="E199">
        <v>50</v>
      </c>
    </row>
    <row r="200" spans="1:5">
      <c r="A200" t="s">
        <v>446</v>
      </c>
      <c r="B200" t="s">
        <v>522</v>
      </c>
      <c r="C200" t="s">
        <v>550</v>
      </c>
      <c r="D200">
        <f t="shared" si="30"/>
        <v>2040</v>
      </c>
      <c r="E200">
        <v>50</v>
      </c>
    </row>
    <row r="201" spans="1:5">
      <c r="A201" t="s">
        <v>446</v>
      </c>
      <c r="B201" t="s">
        <v>522</v>
      </c>
      <c r="C201" t="s">
        <v>550</v>
      </c>
      <c r="D201">
        <f t="shared" si="30"/>
        <v>2045</v>
      </c>
      <c r="E201">
        <v>50</v>
      </c>
    </row>
    <row r="202" spans="1:5">
      <c r="A202" t="s">
        <v>446</v>
      </c>
      <c r="B202" t="s">
        <v>522</v>
      </c>
      <c r="C202" t="s">
        <v>550</v>
      </c>
      <c r="D202">
        <f t="shared" si="30"/>
        <v>2050</v>
      </c>
      <c r="E202">
        <v>50</v>
      </c>
    </row>
    <row r="203" spans="1:5">
      <c r="A203" t="s">
        <v>446</v>
      </c>
      <c r="B203" t="s">
        <v>522</v>
      </c>
      <c r="C203" t="s">
        <v>550</v>
      </c>
      <c r="D203">
        <f t="shared" si="30"/>
        <v>2055</v>
      </c>
      <c r="E203">
        <v>50</v>
      </c>
    </row>
    <row r="204" spans="1:5">
      <c r="A204" t="s">
        <v>446</v>
      </c>
      <c r="B204" t="s">
        <v>522</v>
      </c>
      <c r="C204" t="s">
        <v>550</v>
      </c>
      <c r="D204">
        <f t="shared" si="30"/>
        <v>2060</v>
      </c>
      <c r="E204">
        <v>50</v>
      </c>
    </row>
    <row r="205" spans="1:5">
      <c r="A205" t="s">
        <v>446</v>
      </c>
      <c r="B205" t="s">
        <v>522</v>
      </c>
      <c r="C205" t="s">
        <v>550</v>
      </c>
      <c r="D205">
        <f>D204+10</f>
        <v>2070</v>
      </c>
      <c r="E205">
        <v>50</v>
      </c>
    </row>
    <row r="206" spans="1:5">
      <c r="A206" t="s">
        <v>446</v>
      </c>
      <c r="B206" t="s">
        <v>522</v>
      </c>
      <c r="C206" t="s">
        <v>550</v>
      </c>
      <c r="D206">
        <f t="shared" ref="D206:D208" si="31">D205+10</f>
        <v>2080</v>
      </c>
      <c r="E206">
        <v>50</v>
      </c>
    </row>
    <row r="207" spans="1:5">
      <c r="A207" t="s">
        <v>446</v>
      </c>
      <c r="B207" t="s">
        <v>522</v>
      </c>
      <c r="C207" t="s">
        <v>550</v>
      </c>
      <c r="D207">
        <f t="shared" si="31"/>
        <v>2090</v>
      </c>
      <c r="E207">
        <v>50</v>
      </c>
    </row>
    <row r="208" spans="1:5">
      <c r="A208" t="s">
        <v>446</v>
      </c>
      <c r="B208" t="s">
        <v>522</v>
      </c>
      <c r="C208" t="s">
        <v>550</v>
      </c>
      <c r="D208">
        <f t="shared" si="31"/>
        <v>2100</v>
      </c>
      <c r="E208">
        <v>50</v>
      </c>
    </row>
    <row r="209" spans="1:5">
      <c r="A209" t="s">
        <v>446</v>
      </c>
      <c r="B209" t="s">
        <v>522</v>
      </c>
      <c r="C209" t="s">
        <v>550</v>
      </c>
      <c r="D209">
        <f>D208+10</f>
        <v>2110</v>
      </c>
      <c r="E209">
        <v>50</v>
      </c>
    </row>
    <row r="210" spans="1:5">
      <c r="A210" t="s">
        <v>290</v>
      </c>
      <c r="B210" t="s">
        <v>522</v>
      </c>
      <c r="C210" t="s">
        <v>550</v>
      </c>
      <c r="D210">
        <v>2025</v>
      </c>
      <c r="E210">
        <v>50</v>
      </c>
    </row>
    <row r="211" spans="1:5">
      <c r="A211" t="s">
        <v>290</v>
      </c>
      <c r="B211" t="s">
        <v>522</v>
      </c>
      <c r="C211" t="s">
        <v>550</v>
      </c>
      <c r="D211">
        <f>D210+5</f>
        <v>2030</v>
      </c>
      <c r="E211">
        <v>50</v>
      </c>
    </row>
    <row r="212" spans="1:5">
      <c r="A212" t="s">
        <v>290</v>
      </c>
      <c r="B212" t="s">
        <v>522</v>
      </c>
      <c r="C212" t="s">
        <v>550</v>
      </c>
      <c r="D212">
        <f t="shared" ref="D212:D217" si="32">D211+5</f>
        <v>2035</v>
      </c>
      <c r="E212">
        <v>50</v>
      </c>
    </row>
    <row r="213" spans="1:5">
      <c r="A213" t="s">
        <v>290</v>
      </c>
      <c r="B213" t="s">
        <v>522</v>
      </c>
      <c r="C213" t="s">
        <v>550</v>
      </c>
      <c r="D213">
        <f t="shared" si="32"/>
        <v>2040</v>
      </c>
      <c r="E213">
        <v>50</v>
      </c>
    </row>
    <row r="214" spans="1:5">
      <c r="A214" t="s">
        <v>290</v>
      </c>
      <c r="B214" t="s">
        <v>522</v>
      </c>
      <c r="C214" t="s">
        <v>550</v>
      </c>
      <c r="D214">
        <f t="shared" si="32"/>
        <v>2045</v>
      </c>
      <c r="E214">
        <v>50</v>
      </c>
    </row>
    <row r="215" spans="1:5">
      <c r="A215" t="s">
        <v>290</v>
      </c>
      <c r="B215" t="s">
        <v>522</v>
      </c>
      <c r="C215" t="s">
        <v>550</v>
      </c>
      <c r="D215">
        <f t="shared" si="32"/>
        <v>2050</v>
      </c>
      <c r="E215">
        <v>50</v>
      </c>
    </row>
    <row r="216" spans="1:5">
      <c r="A216" t="s">
        <v>290</v>
      </c>
      <c r="B216" t="s">
        <v>522</v>
      </c>
      <c r="C216" t="s">
        <v>550</v>
      </c>
      <c r="D216">
        <f t="shared" si="32"/>
        <v>2055</v>
      </c>
      <c r="E216">
        <v>50</v>
      </c>
    </row>
    <row r="217" spans="1:5">
      <c r="A217" t="s">
        <v>290</v>
      </c>
      <c r="B217" t="s">
        <v>522</v>
      </c>
      <c r="C217" t="s">
        <v>550</v>
      </c>
      <c r="D217">
        <f t="shared" si="32"/>
        <v>2060</v>
      </c>
      <c r="E217">
        <v>50</v>
      </c>
    </row>
    <row r="218" spans="1:5">
      <c r="A218" t="s">
        <v>290</v>
      </c>
      <c r="B218" t="s">
        <v>522</v>
      </c>
      <c r="C218" t="s">
        <v>550</v>
      </c>
      <c r="D218">
        <f>D217+10</f>
        <v>2070</v>
      </c>
      <c r="E218">
        <v>50</v>
      </c>
    </row>
    <row r="219" spans="1:5">
      <c r="A219" t="s">
        <v>290</v>
      </c>
      <c r="B219" t="s">
        <v>522</v>
      </c>
      <c r="C219" t="s">
        <v>550</v>
      </c>
      <c r="D219">
        <f t="shared" ref="D219:D221" si="33">D218+10</f>
        <v>2080</v>
      </c>
      <c r="E219">
        <v>50</v>
      </c>
    </row>
    <row r="220" spans="1:5">
      <c r="A220" t="s">
        <v>290</v>
      </c>
      <c r="B220" t="s">
        <v>522</v>
      </c>
      <c r="C220" t="s">
        <v>550</v>
      </c>
      <c r="D220">
        <f t="shared" si="33"/>
        <v>2090</v>
      </c>
      <c r="E220">
        <v>50</v>
      </c>
    </row>
    <row r="221" spans="1:5">
      <c r="A221" t="s">
        <v>290</v>
      </c>
      <c r="B221" t="s">
        <v>522</v>
      </c>
      <c r="C221" t="s">
        <v>550</v>
      </c>
      <c r="D221">
        <f t="shared" si="33"/>
        <v>2100</v>
      </c>
      <c r="E221">
        <v>50</v>
      </c>
    </row>
    <row r="222" spans="1:5">
      <c r="A222" t="s">
        <v>290</v>
      </c>
      <c r="B222" t="s">
        <v>522</v>
      </c>
      <c r="C222" t="s">
        <v>550</v>
      </c>
      <c r="D222">
        <f>D221+10</f>
        <v>2110</v>
      </c>
      <c r="E222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26EF-6E70-4194-AFB0-F31BD4FF1806}">
  <dimension ref="A1:O90"/>
  <sheetViews>
    <sheetView topLeftCell="A63" zoomScale="115" zoomScaleNormal="115" workbookViewId="0">
      <selection activeCell="D75" sqref="D75"/>
    </sheetView>
  </sheetViews>
  <sheetFormatPr defaultRowHeight="15"/>
  <cols>
    <col min="1" max="1" width="9.85546875" bestFit="1" customWidth="1"/>
    <col min="2" max="2" width="15.7109375" bestFit="1" customWidth="1"/>
    <col min="4" max="4" width="10" bestFit="1" customWidth="1"/>
  </cols>
  <sheetData>
    <row r="1" spans="1:15">
      <c r="A1" t="s">
        <v>245</v>
      </c>
      <c r="B1" t="s">
        <v>246</v>
      </c>
      <c r="C1" t="s">
        <v>520</v>
      </c>
      <c r="D1" t="s">
        <v>115</v>
      </c>
      <c r="E1" t="s">
        <v>248</v>
      </c>
      <c r="I1" s="37" t="s">
        <v>441</v>
      </c>
    </row>
    <row r="2" spans="1:15">
      <c r="A2" t="s">
        <v>441</v>
      </c>
      <c r="B2" t="s">
        <v>14</v>
      </c>
      <c r="C2" t="s">
        <v>521</v>
      </c>
      <c r="D2">
        <f>G2</f>
        <v>661.71</v>
      </c>
      <c r="E2" t="s">
        <v>29</v>
      </c>
      <c r="G2">
        <f>69*Graphite_format!F2</f>
        <v>661.71</v>
      </c>
      <c r="I2" s="36" t="s">
        <v>533</v>
      </c>
    </row>
    <row r="3" spans="1:15">
      <c r="A3" t="s">
        <v>290</v>
      </c>
      <c r="B3" t="s">
        <v>14</v>
      </c>
      <c r="C3" t="s">
        <v>521</v>
      </c>
      <c r="D3">
        <f t="shared" ref="D3:D5" si="0">G3</f>
        <v>700.06999999999994</v>
      </c>
      <c r="E3" t="s">
        <v>29</v>
      </c>
      <c r="G3">
        <f>73*Graphite_format!F2</f>
        <v>700.06999999999994</v>
      </c>
      <c r="I3" s="37" t="s">
        <v>290</v>
      </c>
    </row>
    <row r="4" spans="1:15">
      <c r="A4" t="s">
        <v>446</v>
      </c>
      <c r="B4" t="s">
        <v>14</v>
      </c>
      <c r="C4" t="s">
        <v>521</v>
      </c>
      <c r="D4">
        <f t="shared" si="0"/>
        <v>671.3</v>
      </c>
      <c r="E4" t="s">
        <v>29</v>
      </c>
      <c r="G4">
        <f>70*Graphite_format!F2</f>
        <v>671.3</v>
      </c>
      <c r="I4" s="164" t="s">
        <v>534</v>
      </c>
      <c r="O4" s="38"/>
    </row>
    <row r="5" spans="1:15">
      <c r="A5" t="s">
        <v>447</v>
      </c>
      <c r="B5" t="s">
        <v>14</v>
      </c>
      <c r="C5" t="s">
        <v>521</v>
      </c>
      <c r="D5">
        <f t="shared" si="0"/>
        <v>863.1</v>
      </c>
      <c r="E5" t="s">
        <v>29</v>
      </c>
      <c r="G5">
        <f>90*Graphite_format!F2</f>
        <v>863.1</v>
      </c>
      <c r="I5" s="37" t="s">
        <v>535</v>
      </c>
    </row>
    <row r="6" spans="1:15">
      <c r="A6" t="s">
        <v>446</v>
      </c>
      <c r="B6" t="s">
        <v>522</v>
      </c>
      <c r="C6" t="s">
        <v>521</v>
      </c>
      <c r="D6">
        <f>G6</f>
        <v>295.22500000000002</v>
      </c>
      <c r="E6" t="s">
        <v>29</v>
      </c>
      <c r="G6">
        <f>12.25*Graphite_format!F64</f>
        <v>295.22500000000002</v>
      </c>
      <c r="I6" s="36" t="s">
        <v>446</v>
      </c>
    </row>
    <row r="7" spans="1:15">
      <c r="A7" t="s">
        <v>290</v>
      </c>
      <c r="B7" t="s">
        <v>522</v>
      </c>
      <c r="C7" t="s">
        <v>521</v>
      </c>
      <c r="D7">
        <f>G7</f>
        <v>40.97</v>
      </c>
      <c r="E7" t="s">
        <v>29</v>
      </c>
      <c r="G7">
        <f>2*0.85*Graphite_format!F64</f>
        <v>40.97</v>
      </c>
      <c r="I7" s="163" t="s">
        <v>536</v>
      </c>
    </row>
    <row r="8" spans="1:15">
      <c r="A8" t="s">
        <v>290</v>
      </c>
      <c r="B8" t="s">
        <v>523</v>
      </c>
      <c r="C8" t="s">
        <v>521</v>
      </c>
      <c r="D8">
        <f>G8</f>
        <v>1.3499999999999999</v>
      </c>
      <c r="E8" t="s">
        <v>29</v>
      </c>
      <c r="G8">
        <f>2*0.15*Graphite_format!F101</f>
        <v>1.3499999999999999</v>
      </c>
      <c r="I8" s="164" t="s">
        <v>443</v>
      </c>
    </row>
    <row r="9" spans="1:15">
      <c r="A9" t="s">
        <v>440</v>
      </c>
      <c r="B9" t="s">
        <v>523</v>
      </c>
      <c r="C9" t="s">
        <v>521</v>
      </c>
      <c r="D9">
        <f>G9</f>
        <v>27.900000000000002</v>
      </c>
      <c r="E9" t="s">
        <v>29</v>
      </c>
      <c r="G9">
        <f>6.2*Graphite_format!F101</f>
        <v>27.900000000000002</v>
      </c>
      <c r="I9" s="37" t="s">
        <v>440</v>
      </c>
    </row>
    <row r="10" spans="1:15">
      <c r="A10" t="s">
        <v>450</v>
      </c>
      <c r="B10" t="s">
        <v>524</v>
      </c>
      <c r="C10" t="s">
        <v>521</v>
      </c>
      <c r="D10">
        <f>G10</f>
        <v>9100</v>
      </c>
      <c r="E10" t="s">
        <v>29</v>
      </c>
      <c r="G10">
        <f>26*Graphite_format!F122</f>
        <v>9100</v>
      </c>
      <c r="I10" s="164" t="s">
        <v>450</v>
      </c>
    </row>
    <row r="11" spans="1:15" ht="15.75" thickBot="1">
      <c r="A11" t="s">
        <v>440</v>
      </c>
      <c r="B11" t="s">
        <v>524</v>
      </c>
      <c r="C11" t="s">
        <v>521</v>
      </c>
      <c r="D11">
        <f t="shared" ref="D11:D18" si="1">G11</f>
        <v>7350</v>
      </c>
      <c r="E11" t="s">
        <v>29</v>
      </c>
      <c r="G11">
        <f>21*Graphite_format!F122</f>
        <v>7350</v>
      </c>
      <c r="I11" s="165" t="s">
        <v>537</v>
      </c>
    </row>
    <row r="12" spans="1:15">
      <c r="A12" t="s">
        <v>446</v>
      </c>
      <c r="B12" t="s">
        <v>524</v>
      </c>
      <c r="C12" t="s">
        <v>521</v>
      </c>
      <c r="D12">
        <f t="shared" si="1"/>
        <v>5600</v>
      </c>
      <c r="E12" t="s">
        <v>29</v>
      </c>
      <c r="G12">
        <f>16*Graphite_format!F122</f>
        <v>5600</v>
      </c>
      <c r="I12" s="2" t="s">
        <v>447</v>
      </c>
    </row>
    <row r="13" spans="1:15">
      <c r="A13" t="s">
        <v>440</v>
      </c>
      <c r="B13" t="s">
        <v>525</v>
      </c>
      <c r="C13" t="s">
        <v>521</v>
      </c>
      <c r="D13">
        <f t="shared" si="1"/>
        <v>13.901999999999999</v>
      </c>
      <c r="E13" t="s">
        <v>29</v>
      </c>
      <c r="G13">
        <f>1.4*Graphite_format!F134</f>
        <v>13.901999999999999</v>
      </c>
      <c r="I13" s="163"/>
    </row>
    <row r="14" spans="1:15">
      <c r="A14" t="s">
        <v>441</v>
      </c>
      <c r="B14" t="s">
        <v>525</v>
      </c>
      <c r="C14" t="s">
        <v>521</v>
      </c>
      <c r="D14">
        <f t="shared" si="1"/>
        <v>43.692</v>
      </c>
      <c r="E14" t="s">
        <v>29</v>
      </c>
      <c r="G14">
        <f>4.4*Graphite_format!F134</f>
        <v>43.692</v>
      </c>
    </row>
    <row r="15" spans="1:15">
      <c r="A15" t="s">
        <v>290</v>
      </c>
      <c r="B15" t="s">
        <v>526</v>
      </c>
      <c r="C15" t="s">
        <v>521</v>
      </c>
      <c r="D15">
        <f t="shared" si="1"/>
        <v>22680</v>
      </c>
      <c r="E15" t="s">
        <v>29</v>
      </c>
      <c r="G15">
        <f>200*Graphite_format!F318</f>
        <v>22680</v>
      </c>
    </row>
    <row r="16" spans="1:15">
      <c r="A16" t="s">
        <v>440</v>
      </c>
      <c r="B16" t="s">
        <v>526</v>
      </c>
      <c r="C16" t="s">
        <v>521</v>
      </c>
      <c r="D16">
        <f t="shared" si="1"/>
        <v>10546.2</v>
      </c>
      <c r="E16" t="s">
        <v>29</v>
      </c>
      <c r="G16">
        <f>93*Graphite_format!F318</f>
        <v>10546.2</v>
      </c>
    </row>
    <row r="17" spans="1:7">
      <c r="A17" t="s">
        <v>450</v>
      </c>
      <c r="B17" t="s">
        <v>526</v>
      </c>
      <c r="C17" t="s">
        <v>521</v>
      </c>
      <c r="D17">
        <f t="shared" si="1"/>
        <v>2721.6000000000004</v>
      </c>
      <c r="E17" t="s">
        <v>29</v>
      </c>
      <c r="G17">
        <f>24*Graphite_format!F318</f>
        <v>2721.6000000000004</v>
      </c>
    </row>
    <row r="18" spans="1:7">
      <c r="A18" s="20" t="s">
        <v>441</v>
      </c>
      <c r="B18" s="20" t="s">
        <v>526</v>
      </c>
      <c r="C18" s="20" t="s">
        <v>521</v>
      </c>
      <c r="D18">
        <f t="shared" si="1"/>
        <v>3515.4</v>
      </c>
      <c r="E18" s="20" t="s">
        <v>29</v>
      </c>
      <c r="G18" s="20">
        <f>31*Graphite_format!F318</f>
        <v>3515.4</v>
      </c>
    </row>
    <row r="19" spans="1:7">
      <c r="A19" s="2" t="s">
        <v>533</v>
      </c>
      <c r="B19" t="s">
        <v>14</v>
      </c>
      <c r="C19" t="s">
        <v>521</v>
      </c>
      <c r="D19">
        <f t="shared" ref="D19:D66" si="2">G19*100</f>
        <v>0</v>
      </c>
      <c r="E19" t="s">
        <v>29</v>
      </c>
    </row>
    <row r="20" spans="1:7">
      <c r="A20" s="2" t="s">
        <v>534</v>
      </c>
      <c r="B20" t="s">
        <v>14</v>
      </c>
      <c r="C20" t="s">
        <v>521</v>
      </c>
      <c r="D20">
        <f t="shared" si="2"/>
        <v>0</v>
      </c>
      <c r="E20" t="s">
        <v>29</v>
      </c>
    </row>
    <row r="21" spans="1:7">
      <c r="A21" s="2" t="s">
        <v>535</v>
      </c>
      <c r="B21" t="s">
        <v>14</v>
      </c>
      <c r="C21" t="s">
        <v>521</v>
      </c>
      <c r="D21">
        <f t="shared" si="2"/>
        <v>0</v>
      </c>
      <c r="E21" t="s">
        <v>29</v>
      </c>
    </row>
    <row r="22" spans="1:7">
      <c r="A22" s="2" t="s">
        <v>536</v>
      </c>
      <c r="B22" t="s">
        <v>14</v>
      </c>
      <c r="C22" t="s">
        <v>521</v>
      </c>
      <c r="D22">
        <f t="shared" si="2"/>
        <v>0</v>
      </c>
      <c r="E22" t="s">
        <v>29</v>
      </c>
    </row>
    <row r="23" spans="1:7">
      <c r="A23" s="2" t="s">
        <v>443</v>
      </c>
      <c r="B23" t="s">
        <v>14</v>
      </c>
      <c r="C23" t="s">
        <v>521</v>
      </c>
      <c r="D23">
        <f t="shared" si="2"/>
        <v>0</v>
      </c>
      <c r="E23" t="s">
        <v>29</v>
      </c>
    </row>
    <row r="24" spans="1:7">
      <c r="A24" s="2" t="s">
        <v>440</v>
      </c>
      <c r="B24" t="s">
        <v>14</v>
      </c>
      <c r="C24" t="s">
        <v>521</v>
      </c>
      <c r="D24">
        <f t="shared" si="2"/>
        <v>0</v>
      </c>
      <c r="E24" t="s">
        <v>29</v>
      </c>
    </row>
    <row r="25" spans="1:7">
      <c r="A25" s="2" t="s">
        <v>450</v>
      </c>
      <c r="B25" t="s">
        <v>14</v>
      </c>
      <c r="C25" t="s">
        <v>521</v>
      </c>
      <c r="D25">
        <f t="shared" si="2"/>
        <v>0</v>
      </c>
      <c r="E25" t="s">
        <v>29</v>
      </c>
    </row>
    <row r="26" spans="1:7">
      <c r="A26" s="19" t="s">
        <v>537</v>
      </c>
      <c r="B26" s="20" t="s">
        <v>14</v>
      </c>
      <c r="C26" s="20" t="s">
        <v>521</v>
      </c>
      <c r="D26">
        <f t="shared" si="2"/>
        <v>0</v>
      </c>
      <c r="E26" s="20" t="s">
        <v>29</v>
      </c>
    </row>
    <row r="27" spans="1:7">
      <c r="A27" s="2" t="s">
        <v>441</v>
      </c>
      <c r="B27" t="s">
        <v>522</v>
      </c>
      <c r="C27" t="s">
        <v>521</v>
      </c>
      <c r="D27">
        <f t="shared" si="2"/>
        <v>0</v>
      </c>
      <c r="E27" t="s">
        <v>29</v>
      </c>
    </row>
    <row r="28" spans="1:7">
      <c r="A28" s="2" t="s">
        <v>533</v>
      </c>
      <c r="B28" t="s">
        <v>522</v>
      </c>
      <c r="C28" t="s">
        <v>521</v>
      </c>
      <c r="D28">
        <f t="shared" si="2"/>
        <v>0</v>
      </c>
      <c r="E28" t="s">
        <v>29</v>
      </c>
    </row>
    <row r="29" spans="1:7">
      <c r="A29" s="2" t="s">
        <v>534</v>
      </c>
      <c r="B29" t="s">
        <v>522</v>
      </c>
      <c r="C29" t="s">
        <v>521</v>
      </c>
      <c r="D29">
        <f t="shared" si="2"/>
        <v>0</v>
      </c>
      <c r="E29" t="s">
        <v>29</v>
      </c>
    </row>
    <row r="30" spans="1:7">
      <c r="A30" s="2" t="s">
        <v>535</v>
      </c>
      <c r="B30" t="s">
        <v>522</v>
      </c>
      <c r="C30" t="s">
        <v>521</v>
      </c>
      <c r="D30">
        <f t="shared" si="2"/>
        <v>0</v>
      </c>
      <c r="E30" t="s">
        <v>29</v>
      </c>
    </row>
    <row r="31" spans="1:7">
      <c r="A31" s="2" t="s">
        <v>536</v>
      </c>
      <c r="B31" t="s">
        <v>522</v>
      </c>
      <c r="C31" t="s">
        <v>521</v>
      </c>
      <c r="D31">
        <f t="shared" si="2"/>
        <v>0</v>
      </c>
      <c r="E31" t="s">
        <v>29</v>
      </c>
    </row>
    <row r="32" spans="1:7">
      <c r="A32" s="2" t="s">
        <v>443</v>
      </c>
      <c r="B32" t="s">
        <v>522</v>
      </c>
      <c r="C32" t="s">
        <v>521</v>
      </c>
      <c r="D32">
        <f t="shared" si="2"/>
        <v>0</v>
      </c>
      <c r="E32" t="s">
        <v>29</v>
      </c>
    </row>
    <row r="33" spans="1:5">
      <c r="A33" s="2" t="s">
        <v>440</v>
      </c>
      <c r="B33" t="s">
        <v>522</v>
      </c>
      <c r="C33" t="s">
        <v>521</v>
      </c>
      <c r="D33">
        <f t="shared" si="2"/>
        <v>0</v>
      </c>
      <c r="E33" t="s">
        <v>29</v>
      </c>
    </row>
    <row r="34" spans="1:5">
      <c r="A34" s="2" t="s">
        <v>450</v>
      </c>
      <c r="B34" t="s">
        <v>522</v>
      </c>
      <c r="C34" t="s">
        <v>521</v>
      </c>
      <c r="D34">
        <f t="shared" si="2"/>
        <v>0</v>
      </c>
      <c r="E34" t="s">
        <v>29</v>
      </c>
    </row>
    <row r="35" spans="1:5">
      <c r="A35" s="2" t="s">
        <v>537</v>
      </c>
      <c r="B35" t="s">
        <v>522</v>
      </c>
      <c r="C35" t="s">
        <v>521</v>
      </c>
      <c r="D35">
        <f t="shared" si="2"/>
        <v>0</v>
      </c>
      <c r="E35" t="s">
        <v>29</v>
      </c>
    </row>
    <row r="36" spans="1:5">
      <c r="A36" s="19" t="s">
        <v>447</v>
      </c>
      <c r="B36" s="20" t="s">
        <v>522</v>
      </c>
      <c r="C36" s="20" t="s">
        <v>521</v>
      </c>
      <c r="D36">
        <f t="shared" si="2"/>
        <v>0</v>
      </c>
      <c r="E36" s="20" t="s">
        <v>29</v>
      </c>
    </row>
    <row r="37" spans="1:5">
      <c r="A37" s="30" t="s">
        <v>441</v>
      </c>
      <c r="B37" s="33" t="s">
        <v>523</v>
      </c>
      <c r="C37" s="33" t="s">
        <v>521</v>
      </c>
      <c r="D37">
        <f t="shared" si="2"/>
        <v>0</v>
      </c>
      <c r="E37" s="33" t="s">
        <v>29</v>
      </c>
    </row>
    <row r="38" spans="1:5">
      <c r="A38" s="2" t="s">
        <v>533</v>
      </c>
      <c r="B38" t="s">
        <v>523</v>
      </c>
      <c r="C38" t="s">
        <v>521</v>
      </c>
      <c r="D38">
        <f t="shared" si="2"/>
        <v>0</v>
      </c>
      <c r="E38" t="s">
        <v>29</v>
      </c>
    </row>
    <row r="39" spans="1:5">
      <c r="A39" s="2" t="s">
        <v>534</v>
      </c>
      <c r="B39" t="s">
        <v>523</v>
      </c>
      <c r="C39" t="s">
        <v>521</v>
      </c>
      <c r="D39">
        <f t="shared" si="2"/>
        <v>0</v>
      </c>
      <c r="E39" t="s">
        <v>29</v>
      </c>
    </row>
    <row r="40" spans="1:5">
      <c r="A40" s="2" t="s">
        <v>535</v>
      </c>
      <c r="B40" t="s">
        <v>523</v>
      </c>
      <c r="C40" t="s">
        <v>521</v>
      </c>
      <c r="D40">
        <f t="shared" si="2"/>
        <v>0</v>
      </c>
      <c r="E40" t="s">
        <v>29</v>
      </c>
    </row>
    <row r="41" spans="1:5">
      <c r="A41" s="2" t="s">
        <v>446</v>
      </c>
      <c r="B41" t="s">
        <v>523</v>
      </c>
      <c r="C41" t="s">
        <v>521</v>
      </c>
      <c r="D41">
        <f t="shared" si="2"/>
        <v>0</v>
      </c>
      <c r="E41" t="s">
        <v>29</v>
      </c>
    </row>
    <row r="42" spans="1:5">
      <c r="A42" s="2" t="s">
        <v>536</v>
      </c>
      <c r="B42" t="s">
        <v>523</v>
      </c>
      <c r="C42" t="s">
        <v>521</v>
      </c>
      <c r="D42">
        <f t="shared" si="2"/>
        <v>0</v>
      </c>
      <c r="E42" t="s">
        <v>29</v>
      </c>
    </row>
    <row r="43" spans="1:5">
      <c r="A43" s="2" t="s">
        <v>443</v>
      </c>
      <c r="B43" t="s">
        <v>523</v>
      </c>
      <c r="C43" t="s">
        <v>521</v>
      </c>
      <c r="D43">
        <f t="shared" si="2"/>
        <v>0</v>
      </c>
      <c r="E43" t="s">
        <v>29</v>
      </c>
    </row>
    <row r="44" spans="1:5">
      <c r="A44" s="2" t="s">
        <v>450</v>
      </c>
      <c r="B44" t="s">
        <v>523</v>
      </c>
      <c r="C44" t="s">
        <v>521</v>
      </c>
      <c r="D44">
        <f t="shared" si="2"/>
        <v>0</v>
      </c>
      <c r="E44" t="s">
        <v>29</v>
      </c>
    </row>
    <row r="45" spans="1:5">
      <c r="A45" s="2" t="s">
        <v>537</v>
      </c>
      <c r="B45" t="s">
        <v>523</v>
      </c>
      <c r="C45" t="s">
        <v>521</v>
      </c>
      <c r="D45">
        <f t="shared" si="2"/>
        <v>0</v>
      </c>
      <c r="E45" t="s">
        <v>29</v>
      </c>
    </row>
    <row r="46" spans="1:5">
      <c r="A46" s="2" t="s">
        <v>447</v>
      </c>
      <c r="B46" t="s">
        <v>523</v>
      </c>
      <c r="C46" t="s">
        <v>521</v>
      </c>
      <c r="D46">
        <f t="shared" si="2"/>
        <v>0</v>
      </c>
      <c r="E46" t="s">
        <v>29</v>
      </c>
    </row>
    <row r="47" spans="1:5">
      <c r="A47" s="2" t="s">
        <v>441</v>
      </c>
      <c r="B47" t="s">
        <v>524</v>
      </c>
      <c r="C47" t="s">
        <v>521</v>
      </c>
      <c r="D47">
        <f t="shared" si="2"/>
        <v>0</v>
      </c>
      <c r="E47" t="s">
        <v>29</v>
      </c>
    </row>
    <row r="48" spans="1:5">
      <c r="A48" s="2" t="s">
        <v>533</v>
      </c>
      <c r="B48" t="s">
        <v>524</v>
      </c>
      <c r="C48" t="s">
        <v>521</v>
      </c>
      <c r="D48">
        <f t="shared" si="2"/>
        <v>0</v>
      </c>
      <c r="E48" t="s">
        <v>29</v>
      </c>
    </row>
    <row r="49" spans="1:5">
      <c r="A49" s="2" t="s">
        <v>290</v>
      </c>
      <c r="B49" t="s">
        <v>524</v>
      </c>
      <c r="C49" t="s">
        <v>521</v>
      </c>
      <c r="D49">
        <f t="shared" si="2"/>
        <v>0</v>
      </c>
      <c r="E49" t="s">
        <v>29</v>
      </c>
    </row>
    <row r="50" spans="1:5">
      <c r="A50" s="2" t="s">
        <v>534</v>
      </c>
      <c r="B50" t="s">
        <v>524</v>
      </c>
      <c r="C50" t="s">
        <v>521</v>
      </c>
      <c r="D50">
        <f t="shared" si="2"/>
        <v>0</v>
      </c>
      <c r="E50" t="s">
        <v>29</v>
      </c>
    </row>
    <row r="51" spans="1:5">
      <c r="A51" s="2" t="s">
        <v>535</v>
      </c>
      <c r="B51" t="s">
        <v>524</v>
      </c>
      <c r="C51" t="s">
        <v>521</v>
      </c>
      <c r="D51">
        <f t="shared" si="2"/>
        <v>0</v>
      </c>
      <c r="E51" t="s">
        <v>29</v>
      </c>
    </row>
    <row r="52" spans="1:5">
      <c r="A52" s="2" t="s">
        <v>536</v>
      </c>
      <c r="B52" t="s">
        <v>524</v>
      </c>
      <c r="C52" t="s">
        <v>521</v>
      </c>
      <c r="D52">
        <f t="shared" si="2"/>
        <v>0</v>
      </c>
      <c r="E52" t="s">
        <v>29</v>
      </c>
    </row>
    <row r="53" spans="1:5">
      <c r="A53" s="2" t="s">
        <v>443</v>
      </c>
      <c r="B53" t="s">
        <v>524</v>
      </c>
      <c r="C53" t="s">
        <v>521</v>
      </c>
      <c r="D53">
        <f t="shared" si="2"/>
        <v>0</v>
      </c>
      <c r="E53" t="s">
        <v>29</v>
      </c>
    </row>
    <row r="54" spans="1:5">
      <c r="A54" s="2" t="s">
        <v>537</v>
      </c>
      <c r="B54" t="s">
        <v>524</v>
      </c>
      <c r="C54" t="s">
        <v>521</v>
      </c>
      <c r="D54">
        <f t="shared" si="2"/>
        <v>0</v>
      </c>
      <c r="E54" t="s">
        <v>29</v>
      </c>
    </row>
    <row r="55" spans="1:5">
      <c r="A55" s="2" t="s">
        <v>447</v>
      </c>
      <c r="B55" t="s">
        <v>524</v>
      </c>
      <c r="C55" t="s">
        <v>521</v>
      </c>
      <c r="D55">
        <f t="shared" si="2"/>
        <v>0</v>
      </c>
      <c r="E55" t="s">
        <v>29</v>
      </c>
    </row>
    <row r="56" spans="1:5">
      <c r="A56" s="2" t="s">
        <v>533</v>
      </c>
      <c r="B56" t="s">
        <v>525</v>
      </c>
      <c r="C56" t="s">
        <v>521</v>
      </c>
      <c r="D56">
        <f t="shared" si="2"/>
        <v>0</v>
      </c>
      <c r="E56" t="s">
        <v>29</v>
      </c>
    </row>
    <row r="57" spans="1:5">
      <c r="A57" s="2" t="s">
        <v>290</v>
      </c>
      <c r="B57" t="s">
        <v>525</v>
      </c>
      <c r="C57" t="s">
        <v>521</v>
      </c>
      <c r="D57">
        <f t="shared" si="2"/>
        <v>0</v>
      </c>
      <c r="E57" t="s">
        <v>29</v>
      </c>
    </row>
    <row r="58" spans="1:5">
      <c r="A58" s="2" t="s">
        <v>534</v>
      </c>
      <c r="B58" t="s">
        <v>525</v>
      </c>
      <c r="C58" t="s">
        <v>521</v>
      </c>
      <c r="D58">
        <f t="shared" si="2"/>
        <v>0</v>
      </c>
      <c r="E58" t="s">
        <v>29</v>
      </c>
    </row>
    <row r="59" spans="1:5">
      <c r="A59" s="2" t="s">
        <v>535</v>
      </c>
      <c r="B59" t="s">
        <v>525</v>
      </c>
      <c r="C59" t="s">
        <v>521</v>
      </c>
      <c r="D59">
        <f t="shared" si="2"/>
        <v>0</v>
      </c>
      <c r="E59" t="s">
        <v>29</v>
      </c>
    </row>
    <row r="60" spans="1:5">
      <c r="A60" s="2" t="s">
        <v>446</v>
      </c>
      <c r="B60" t="s">
        <v>525</v>
      </c>
      <c r="C60" t="s">
        <v>521</v>
      </c>
      <c r="D60">
        <f t="shared" si="2"/>
        <v>0</v>
      </c>
      <c r="E60" t="s">
        <v>29</v>
      </c>
    </row>
    <row r="61" spans="1:5">
      <c r="A61" s="2" t="s">
        <v>536</v>
      </c>
      <c r="B61" t="s">
        <v>525</v>
      </c>
      <c r="C61" t="s">
        <v>521</v>
      </c>
      <c r="D61">
        <f t="shared" si="2"/>
        <v>0</v>
      </c>
      <c r="E61" t="s">
        <v>29</v>
      </c>
    </row>
    <row r="62" spans="1:5">
      <c r="A62" s="2" t="s">
        <v>443</v>
      </c>
      <c r="B62" t="s">
        <v>525</v>
      </c>
      <c r="C62" t="s">
        <v>521</v>
      </c>
      <c r="D62">
        <f t="shared" si="2"/>
        <v>0</v>
      </c>
      <c r="E62" t="s">
        <v>29</v>
      </c>
    </row>
    <row r="63" spans="1:5">
      <c r="A63" s="2" t="s">
        <v>450</v>
      </c>
      <c r="B63" t="s">
        <v>525</v>
      </c>
      <c r="C63" t="s">
        <v>521</v>
      </c>
      <c r="D63">
        <f t="shared" si="2"/>
        <v>0</v>
      </c>
      <c r="E63" t="s">
        <v>29</v>
      </c>
    </row>
    <row r="64" spans="1:5">
      <c r="A64" s="2" t="s">
        <v>537</v>
      </c>
      <c r="B64" t="s">
        <v>525</v>
      </c>
      <c r="C64" t="s">
        <v>521</v>
      </c>
      <c r="D64">
        <f t="shared" si="2"/>
        <v>0</v>
      </c>
      <c r="E64" t="s">
        <v>29</v>
      </c>
    </row>
    <row r="65" spans="1:5">
      <c r="A65" s="2" t="s">
        <v>447</v>
      </c>
      <c r="B65" t="s">
        <v>525</v>
      </c>
      <c r="C65" t="s">
        <v>521</v>
      </c>
      <c r="D65">
        <f t="shared" si="2"/>
        <v>0</v>
      </c>
      <c r="E65" t="s">
        <v>29</v>
      </c>
    </row>
    <row r="66" spans="1:5">
      <c r="A66" s="2" t="s">
        <v>533</v>
      </c>
      <c r="B66" t="s">
        <v>526</v>
      </c>
      <c r="C66" t="s">
        <v>521</v>
      </c>
      <c r="D66">
        <f t="shared" si="2"/>
        <v>0</v>
      </c>
      <c r="E66" t="s">
        <v>29</v>
      </c>
    </row>
    <row r="67" spans="1:5">
      <c r="A67" s="2" t="s">
        <v>534</v>
      </c>
      <c r="B67" t="s">
        <v>526</v>
      </c>
      <c r="C67" t="s">
        <v>521</v>
      </c>
      <c r="D67">
        <f t="shared" ref="D67:D73" si="3">G67*100</f>
        <v>0</v>
      </c>
      <c r="E67" t="s">
        <v>29</v>
      </c>
    </row>
    <row r="68" spans="1:5">
      <c r="A68" s="2" t="s">
        <v>535</v>
      </c>
      <c r="B68" t="s">
        <v>526</v>
      </c>
      <c r="C68" t="s">
        <v>521</v>
      </c>
      <c r="D68">
        <f t="shared" si="3"/>
        <v>0</v>
      </c>
      <c r="E68" t="s">
        <v>29</v>
      </c>
    </row>
    <row r="69" spans="1:5">
      <c r="A69" s="2" t="s">
        <v>446</v>
      </c>
      <c r="B69" s="20" t="s">
        <v>526</v>
      </c>
      <c r="C69" t="s">
        <v>521</v>
      </c>
      <c r="D69">
        <f t="shared" si="3"/>
        <v>0</v>
      </c>
      <c r="E69" t="s">
        <v>29</v>
      </c>
    </row>
    <row r="70" spans="1:5">
      <c r="A70" s="2" t="s">
        <v>536</v>
      </c>
      <c r="B70" t="s">
        <v>526</v>
      </c>
      <c r="C70" t="s">
        <v>521</v>
      </c>
      <c r="D70">
        <f t="shared" si="3"/>
        <v>0</v>
      </c>
      <c r="E70" t="s">
        <v>29</v>
      </c>
    </row>
    <row r="71" spans="1:5">
      <c r="A71" s="2" t="s">
        <v>443</v>
      </c>
      <c r="B71" t="s">
        <v>526</v>
      </c>
      <c r="C71" t="s">
        <v>521</v>
      </c>
      <c r="D71">
        <f t="shared" si="3"/>
        <v>0</v>
      </c>
      <c r="E71" t="s">
        <v>29</v>
      </c>
    </row>
    <row r="72" spans="1:5">
      <c r="A72" s="2" t="s">
        <v>537</v>
      </c>
      <c r="B72" t="s">
        <v>526</v>
      </c>
      <c r="C72" t="s">
        <v>521</v>
      </c>
      <c r="D72">
        <f t="shared" si="3"/>
        <v>0</v>
      </c>
      <c r="E72" t="s">
        <v>29</v>
      </c>
    </row>
    <row r="73" spans="1:5">
      <c r="A73" s="2" t="s">
        <v>447</v>
      </c>
      <c r="B73" s="20" t="s">
        <v>526</v>
      </c>
      <c r="C73" t="s">
        <v>521</v>
      </c>
      <c r="D73">
        <f t="shared" si="3"/>
        <v>0</v>
      </c>
      <c r="E73" t="s">
        <v>29</v>
      </c>
    </row>
    <row r="74" spans="1:5">
      <c r="A74" t="s">
        <v>441</v>
      </c>
      <c r="B74" t="s">
        <v>14</v>
      </c>
      <c r="C74" t="s">
        <v>550</v>
      </c>
      <c r="D74">
        <f>G2*10</f>
        <v>6617.1</v>
      </c>
      <c r="E74" t="s">
        <v>29</v>
      </c>
    </row>
    <row r="75" spans="1:5">
      <c r="A75" t="s">
        <v>290</v>
      </c>
      <c r="B75" t="s">
        <v>14</v>
      </c>
      <c r="C75" t="s">
        <v>550</v>
      </c>
      <c r="D75">
        <f t="shared" ref="D75:D90" si="4">G3*10</f>
        <v>7000.6999999999989</v>
      </c>
      <c r="E75" t="s">
        <v>29</v>
      </c>
    </row>
    <row r="76" spans="1:5">
      <c r="A76" t="s">
        <v>446</v>
      </c>
      <c r="B76" t="s">
        <v>14</v>
      </c>
      <c r="C76" t="s">
        <v>550</v>
      </c>
      <c r="D76">
        <f t="shared" si="4"/>
        <v>6713</v>
      </c>
      <c r="E76" t="s">
        <v>29</v>
      </c>
    </row>
    <row r="77" spans="1:5">
      <c r="A77" t="s">
        <v>447</v>
      </c>
      <c r="B77" t="s">
        <v>14</v>
      </c>
      <c r="C77" t="s">
        <v>550</v>
      </c>
      <c r="D77">
        <f t="shared" si="4"/>
        <v>8631</v>
      </c>
      <c r="E77" t="s">
        <v>29</v>
      </c>
    </row>
    <row r="78" spans="1:5">
      <c r="A78" t="s">
        <v>446</v>
      </c>
      <c r="B78" t="s">
        <v>522</v>
      </c>
      <c r="C78" t="s">
        <v>550</v>
      </c>
      <c r="D78">
        <f>G6*100</f>
        <v>29522.500000000004</v>
      </c>
      <c r="E78" t="s">
        <v>29</v>
      </c>
    </row>
    <row r="79" spans="1:5">
      <c r="A79" t="s">
        <v>290</v>
      </c>
      <c r="B79" t="s">
        <v>522</v>
      </c>
      <c r="C79" t="s">
        <v>550</v>
      </c>
      <c r="D79">
        <f>G7*100</f>
        <v>4097</v>
      </c>
      <c r="E79" t="s">
        <v>29</v>
      </c>
    </row>
    <row r="80" spans="1:5">
      <c r="A80" t="s">
        <v>290</v>
      </c>
      <c r="B80" t="s">
        <v>523</v>
      </c>
      <c r="C80" t="s">
        <v>550</v>
      </c>
      <c r="D80">
        <f>G8*100</f>
        <v>135</v>
      </c>
      <c r="E80" t="s">
        <v>29</v>
      </c>
    </row>
    <row r="81" spans="1:5">
      <c r="A81" t="s">
        <v>440</v>
      </c>
      <c r="B81" t="s">
        <v>523</v>
      </c>
      <c r="C81" t="s">
        <v>550</v>
      </c>
      <c r="D81">
        <f>G9*100</f>
        <v>2790</v>
      </c>
      <c r="E81" t="s">
        <v>29</v>
      </c>
    </row>
    <row r="82" spans="1:5">
      <c r="A82" t="s">
        <v>450</v>
      </c>
      <c r="B82" t="s">
        <v>524</v>
      </c>
      <c r="C82" t="s">
        <v>550</v>
      </c>
      <c r="D82">
        <f t="shared" si="4"/>
        <v>91000</v>
      </c>
      <c r="E82" t="s">
        <v>29</v>
      </c>
    </row>
    <row r="83" spans="1:5">
      <c r="A83" t="s">
        <v>440</v>
      </c>
      <c r="B83" t="s">
        <v>524</v>
      </c>
      <c r="C83" t="s">
        <v>550</v>
      </c>
      <c r="D83">
        <f t="shared" si="4"/>
        <v>73500</v>
      </c>
      <c r="E83" t="s">
        <v>29</v>
      </c>
    </row>
    <row r="84" spans="1:5">
      <c r="A84" t="s">
        <v>446</v>
      </c>
      <c r="B84" t="s">
        <v>524</v>
      </c>
      <c r="C84" t="s">
        <v>550</v>
      </c>
      <c r="D84">
        <f t="shared" si="4"/>
        <v>56000</v>
      </c>
      <c r="E84" t="s">
        <v>29</v>
      </c>
    </row>
    <row r="85" spans="1:5">
      <c r="A85" t="s">
        <v>440</v>
      </c>
      <c r="B85" t="s">
        <v>525</v>
      </c>
      <c r="C85" t="s">
        <v>550</v>
      </c>
      <c r="D85">
        <f t="shared" si="4"/>
        <v>139.01999999999998</v>
      </c>
      <c r="E85" t="s">
        <v>29</v>
      </c>
    </row>
    <row r="86" spans="1:5">
      <c r="A86" t="s">
        <v>441</v>
      </c>
      <c r="B86" t="s">
        <v>525</v>
      </c>
      <c r="C86" t="s">
        <v>550</v>
      </c>
      <c r="D86">
        <f t="shared" si="4"/>
        <v>436.92</v>
      </c>
      <c r="E86" t="s">
        <v>29</v>
      </c>
    </row>
    <row r="87" spans="1:5">
      <c r="A87" t="s">
        <v>290</v>
      </c>
      <c r="B87" t="s">
        <v>526</v>
      </c>
      <c r="C87" t="s">
        <v>550</v>
      </c>
      <c r="D87">
        <f t="shared" si="4"/>
        <v>226800</v>
      </c>
      <c r="E87" t="s">
        <v>29</v>
      </c>
    </row>
    <row r="88" spans="1:5">
      <c r="A88" t="s">
        <v>440</v>
      </c>
      <c r="B88" t="s">
        <v>526</v>
      </c>
      <c r="C88" t="s">
        <v>550</v>
      </c>
      <c r="D88">
        <f t="shared" si="4"/>
        <v>105462</v>
      </c>
      <c r="E88" t="s">
        <v>29</v>
      </c>
    </row>
    <row r="89" spans="1:5">
      <c r="A89" t="s">
        <v>450</v>
      </c>
      <c r="B89" t="s">
        <v>526</v>
      </c>
      <c r="C89" t="s">
        <v>550</v>
      </c>
      <c r="D89">
        <f t="shared" si="4"/>
        <v>27216.000000000004</v>
      </c>
      <c r="E89" t="s">
        <v>29</v>
      </c>
    </row>
    <row r="90" spans="1:5">
      <c r="A90" t="s">
        <v>441</v>
      </c>
      <c r="B90" t="s">
        <v>526</v>
      </c>
      <c r="C90" t="s">
        <v>550</v>
      </c>
      <c r="D90">
        <f t="shared" si="4"/>
        <v>35154</v>
      </c>
      <c r="E90" t="s">
        <v>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8F14-CFD0-4504-8F9B-11BBF3BA27CC}">
  <dimension ref="A1:L329"/>
  <sheetViews>
    <sheetView topLeftCell="A87" zoomScale="145" zoomScaleNormal="145" workbookViewId="0">
      <selection activeCell="F112" sqref="F112:F117"/>
    </sheetView>
  </sheetViews>
  <sheetFormatPr defaultColWidth="9.140625" defaultRowHeight="15"/>
  <cols>
    <col min="1" max="1" width="13" bestFit="1" customWidth="1"/>
    <col min="2" max="2" width="33.85546875" bestFit="1" customWidth="1"/>
    <col min="3" max="3" width="49.85546875" customWidth="1"/>
    <col min="4" max="4" width="17.28515625" customWidth="1"/>
    <col min="5" max="5" width="11.140625" bestFit="1" customWidth="1"/>
    <col min="6" max="6" width="11.7109375" bestFit="1" customWidth="1"/>
    <col min="7" max="7" width="11.7109375" customWidth="1"/>
    <col min="8" max="8" width="23.85546875" style="12" customWidth="1"/>
    <col min="9" max="9" width="51.7109375" bestFit="1" customWidth="1"/>
    <col min="11" max="12" width="9.28515625" bestFit="1" customWidth="1"/>
    <col min="16" max="16" width="10.28515625" bestFit="1" customWidth="1"/>
  </cols>
  <sheetData>
    <row r="1" spans="1:12" ht="15.75" thickBot="1">
      <c r="A1" t="s">
        <v>2</v>
      </c>
      <c r="B1" t="s">
        <v>52</v>
      </c>
      <c r="C1" t="s">
        <v>110</v>
      </c>
      <c r="D1" t="s">
        <v>6</v>
      </c>
      <c r="E1" t="s">
        <v>7</v>
      </c>
      <c r="F1" s="1" t="s">
        <v>115</v>
      </c>
      <c r="G1" s="1" t="s">
        <v>116</v>
      </c>
      <c r="H1" t="s">
        <v>9</v>
      </c>
      <c r="I1" t="s">
        <v>117</v>
      </c>
    </row>
    <row r="2" spans="1:12" ht="15.75" thickBot="1">
      <c r="A2" s="111" t="s">
        <v>290</v>
      </c>
      <c r="B2" s="112" t="s">
        <v>10</v>
      </c>
      <c r="C2" s="112" t="s">
        <v>527</v>
      </c>
      <c r="D2" t="s">
        <v>549</v>
      </c>
      <c r="E2" s="112" t="s">
        <v>16</v>
      </c>
      <c r="F2" s="113">
        <v>9.59</v>
      </c>
      <c r="G2" s="114">
        <v>2020</v>
      </c>
      <c r="H2"/>
      <c r="I2" s="24"/>
    </row>
    <row r="3" spans="1:12" ht="15.75" thickBot="1">
      <c r="A3" s="115" t="str">
        <f>A2</f>
        <v>R12_CHN</v>
      </c>
      <c r="B3" s="2" t="s">
        <v>10</v>
      </c>
      <c r="C3" s="2" t="s">
        <v>230</v>
      </c>
      <c r="D3" t="s">
        <v>549</v>
      </c>
      <c r="E3" s="2" t="s">
        <v>16</v>
      </c>
      <c r="F3" s="116">
        <f>0.05*29288*2.78*0.0000001/8760</f>
        <v>4.6472968036529677E-8</v>
      </c>
      <c r="G3" s="114">
        <v>2020</v>
      </c>
      <c r="H3" s="59"/>
      <c r="I3" s="44"/>
    </row>
    <row r="4" spans="1:12" ht="15.75" thickBot="1">
      <c r="A4" s="115" t="str">
        <f t="shared" ref="A4:A67" si="0">A3</f>
        <v>R12_CHN</v>
      </c>
      <c r="B4" s="2" t="s">
        <v>10</v>
      </c>
      <c r="C4" s="2" t="s">
        <v>118</v>
      </c>
      <c r="D4" t="s">
        <v>549</v>
      </c>
      <c r="E4" s="2" t="s">
        <v>16</v>
      </c>
      <c r="F4" s="3">
        <v>2.72</v>
      </c>
      <c r="G4" s="114">
        <v>2020</v>
      </c>
      <c r="H4" s="4"/>
      <c r="I4" s="24"/>
      <c r="L4" s="7"/>
    </row>
    <row r="5" spans="1:12" ht="15.75" thickBot="1">
      <c r="A5" s="115" t="str">
        <f t="shared" si="0"/>
        <v>R12_CHN</v>
      </c>
      <c r="B5" s="2" t="s">
        <v>10</v>
      </c>
      <c r="C5" s="2" t="s">
        <v>119</v>
      </c>
      <c r="D5" t="s">
        <v>549</v>
      </c>
      <c r="E5" s="2" t="s">
        <v>16</v>
      </c>
      <c r="F5" s="3">
        <v>22.03</v>
      </c>
      <c r="G5" s="114">
        <v>2020</v>
      </c>
      <c r="H5" s="4"/>
      <c r="I5" s="24"/>
    </row>
    <row r="6" spans="1:12" ht="15" customHeight="1" thickBot="1">
      <c r="A6" s="115" t="str">
        <f t="shared" si="0"/>
        <v>R12_CHN</v>
      </c>
      <c r="B6" s="2" t="s">
        <v>10</v>
      </c>
      <c r="C6" s="2" t="s">
        <v>227</v>
      </c>
      <c r="D6" t="s">
        <v>549</v>
      </c>
      <c r="E6" s="2" t="s">
        <v>23</v>
      </c>
      <c r="F6" s="15">
        <f>589.43*0.278/8760</f>
        <v>1.870565525114155E-2</v>
      </c>
      <c r="G6" s="114">
        <v>2020</v>
      </c>
      <c r="H6" s="7"/>
      <c r="I6" s="24"/>
    </row>
    <row r="7" spans="1:12" ht="15" customHeight="1" thickBot="1">
      <c r="A7" s="115" t="str">
        <f t="shared" si="0"/>
        <v>R12_CHN</v>
      </c>
      <c r="B7" s="2" t="s">
        <v>10</v>
      </c>
      <c r="C7" s="2" t="s">
        <v>228</v>
      </c>
      <c r="D7" t="s">
        <v>549</v>
      </c>
      <c r="E7" s="117" t="s">
        <v>23</v>
      </c>
      <c r="F7" s="118">
        <f>959.95*0.278/8760</f>
        <v>3.0464166666666667E-2</v>
      </c>
      <c r="G7" s="114">
        <v>2020</v>
      </c>
      <c r="H7" s="7"/>
      <c r="I7" s="24"/>
    </row>
    <row r="8" spans="1:12" ht="15" customHeight="1" thickBot="1">
      <c r="A8" s="115" t="str">
        <f t="shared" si="0"/>
        <v>R12_CHN</v>
      </c>
      <c r="B8" s="2" t="s">
        <v>10</v>
      </c>
      <c r="C8" s="2" t="s">
        <v>120</v>
      </c>
      <c r="D8" t="s">
        <v>549</v>
      </c>
      <c r="E8" s="2" t="s">
        <v>29</v>
      </c>
      <c r="F8" s="3">
        <v>1</v>
      </c>
      <c r="G8" s="114">
        <v>2020</v>
      </c>
      <c r="H8" s="4"/>
      <c r="I8" s="24"/>
    </row>
    <row r="9" spans="1:12" ht="15" customHeight="1" thickBot="1">
      <c r="A9" s="115" t="str">
        <f t="shared" si="0"/>
        <v>R12_CHN</v>
      </c>
      <c r="B9" s="19" t="s">
        <v>10</v>
      </c>
      <c r="C9" s="19" t="s">
        <v>121</v>
      </c>
      <c r="D9" t="s">
        <v>549</v>
      </c>
      <c r="E9" s="19" t="s">
        <v>29</v>
      </c>
      <c r="F9" s="21">
        <v>8.9559999999999995</v>
      </c>
      <c r="G9" s="114">
        <v>2020</v>
      </c>
      <c r="H9" s="9"/>
      <c r="I9" s="24"/>
    </row>
    <row r="10" spans="1:12" ht="15" customHeight="1" thickBot="1">
      <c r="A10" s="115" t="str">
        <f t="shared" si="0"/>
        <v>R12_CHN</v>
      </c>
      <c r="B10" s="2" t="s">
        <v>10</v>
      </c>
      <c r="C10" s="2" t="s">
        <v>35</v>
      </c>
      <c r="D10" t="s">
        <v>549</v>
      </c>
      <c r="E10" s="2" t="s">
        <v>36</v>
      </c>
      <c r="F10" s="121">
        <v>30</v>
      </c>
      <c r="G10" s="114">
        <v>2020</v>
      </c>
      <c r="H10" s="4"/>
      <c r="I10" s="24"/>
    </row>
    <row r="11" spans="1:12" ht="15" customHeight="1" thickBot="1">
      <c r="A11" s="115" t="str">
        <f t="shared" si="0"/>
        <v>R12_CHN</v>
      </c>
      <c r="B11" s="2" t="s">
        <v>10</v>
      </c>
      <c r="C11" s="2" t="s">
        <v>37</v>
      </c>
      <c r="D11" t="s">
        <v>549</v>
      </c>
      <c r="E11" s="2" t="s">
        <v>38</v>
      </c>
      <c r="F11" s="3">
        <v>0.8</v>
      </c>
      <c r="G11" s="114">
        <v>2020</v>
      </c>
      <c r="H11" s="4"/>
      <c r="I11" s="24"/>
    </row>
    <row r="12" spans="1:12" ht="15" customHeight="1" thickBot="1">
      <c r="A12" s="115" t="str">
        <f t="shared" si="0"/>
        <v>R12_CHN</v>
      </c>
      <c r="B12" s="2" t="s">
        <v>10</v>
      </c>
      <c r="C12" s="2" t="s">
        <v>39</v>
      </c>
      <c r="D12" t="s">
        <v>549</v>
      </c>
      <c r="E12" s="2" t="s">
        <v>40</v>
      </c>
      <c r="F12" s="3">
        <f>F14*2</f>
        <v>230</v>
      </c>
      <c r="G12" s="114">
        <v>2020</v>
      </c>
      <c r="H12" s="4"/>
      <c r="I12" s="24"/>
    </row>
    <row r="13" spans="1:12" ht="15" customHeight="1" thickBot="1">
      <c r="A13" s="115" t="str">
        <f t="shared" si="0"/>
        <v>R12_CHN</v>
      </c>
      <c r="B13" s="2" t="s">
        <v>10</v>
      </c>
      <c r="C13" s="2" t="s">
        <v>41</v>
      </c>
      <c r="D13" t="s">
        <v>549</v>
      </c>
      <c r="E13" s="2" t="s">
        <v>40</v>
      </c>
      <c r="F13" s="3">
        <f>F14*5</f>
        <v>575</v>
      </c>
      <c r="G13" s="114">
        <v>2020</v>
      </c>
      <c r="H13" s="4"/>
      <c r="I13" s="24"/>
    </row>
    <row r="14" spans="1:12" ht="15" customHeight="1" thickBot="1">
      <c r="A14" s="115" t="str">
        <f t="shared" si="0"/>
        <v>R12_CHN</v>
      </c>
      <c r="B14" s="19" t="s">
        <v>10</v>
      </c>
      <c r="C14" s="19" t="s">
        <v>42</v>
      </c>
      <c r="D14" t="s">
        <v>549</v>
      </c>
      <c r="E14" s="19" t="s">
        <v>40</v>
      </c>
      <c r="F14" s="21">
        <v>115</v>
      </c>
      <c r="G14" s="114">
        <v>2020</v>
      </c>
      <c r="H14" s="4"/>
      <c r="I14" s="24"/>
    </row>
    <row r="15" spans="1:12" ht="15" customHeight="1" thickBot="1">
      <c r="A15" s="115" t="str">
        <f t="shared" si="0"/>
        <v>R12_CHN</v>
      </c>
      <c r="B15" s="2" t="s">
        <v>43</v>
      </c>
      <c r="C15" s="2" t="s">
        <v>122</v>
      </c>
      <c r="D15" t="s">
        <v>549</v>
      </c>
      <c r="E15" s="2" t="s">
        <v>16</v>
      </c>
      <c r="F15" s="3">
        <v>2.5299999999999998</v>
      </c>
      <c r="G15" s="114">
        <v>2020</v>
      </c>
      <c r="H15" s="4"/>
      <c r="I15" s="24"/>
    </row>
    <row r="16" spans="1:12" ht="15" customHeight="1" thickBot="1">
      <c r="A16" s="115" t="str">
        <f t="shared" si="0"/>
        <v>R12_CHN</v>
      </c>
      <c r="B16" s="2" t="s">
        <v>43</v>
      </c>
      <c r="C16" s="2" t="s">
        <v>118</v>
      </c>
      <c r="D16" t="s">
        <v>549</v>
      </c>
      <c r="E16" s="2" t="s">
        <v>16</v>
      </c>
      <c r="F16" s="3">
        <v>0.94</v>
      </c>
      <c r="G16" s="114">
        <v>2020</v>
      </c>
      <c r="H16" t="s">
        <v>229</v>
      </c>
      <c r="I16" s="24"/>
    </row>
    <row r="17" spans="1:9" ht="15" customHeight="1" thickBot="1">
      <c r="A17" s="115" t="str">
        <f t="shared" si="0"/>
        <v>R12_CHN</v>
      </c>
      <c r="B17" s="2" t="s">
        <v>43</v>
      </c>
      <c r="C17" s="2" t="s">
        <v>119</v>
      </c>
      <c r="D17" t="s">
        <v>549</v>
      </c>
      <c r="E17" s="2" t="s">
        <v>16</v>
      </c>
      <c r="F17" s="42">
        <v>404</v>
      </c>
      <c r="G17" s="114">
        <v>2020</v>
      </c>
      <c r="H17" s="4"/>
      <c r="I17" s="24"/>
    </row>
    <row r="18" spans="1:9" ht="15.75" customHeight="1" thickBot="1">
      <c r="A18" s="115" t="str">
        <f t="shared" si="0"/>
        <v>R12_CHN</v>
      </c>
      <c r="B18" s="2" t="s">
        <v>43</v>
      </c>
      <c r="C18" s="2" t="s">
        <v>227</v>
      </c>
      <c r="D18" t="s">
        <v>549</v>
      </c>
      <c r="E18" s="2" t="s">
        <v>23</v>
      </c>
      <c r="F18" s="15">
        <f>26000*0.278/8760</f>
        <v>0.82511415525114162</v>
      </c>
      <c r="G18" s="114">
        <v>2020</v>
      </c>
      <c r="H18" s="4"/>
      <c r="I18" s="24"/>
    </row>
    <row r="19" spans="1:9" ht="15.75" customHeight="1" thickBot="1">
      <c r="A19" s="115" t="str">
        <f t="shared" si="0"/>
        <v>R12_CHN</v>
      </c>
      <c r="B19" s="2" t="s">
        <v>43</v>
      </c>
      <c r="C19" s="2" t="s">
        <v>231</v>
      </c>
      <c r="D19" t="s">
        <v>549</v>
      </c>
      <c r="E19" s="117" t="s">
        <v>23</v>
      </c>
      <c r="F19" s="116">
        <f>1141.3*0.278/8760</f>
        <v>3.6219337899543382E-2</v>
      </c>
      <c r="G19" s="114">
        <v>2020</v>
      </c>
      <c r="H19" s="59"/>
      <c r="I19" s="44"/>
    </row>
    <row r="20" spans="1:9" ht="15.75" customHeight="1" thickBot="1">
      <c r="A20" s="115" t="str">
        <f t="shared" si="0"/>
        <v>R12_CHN</v>
      </c>
      <c r="B20" s="2" t="s">
        <v>43</v>
      </c>
      <c r="C20" s="2" t="s">
        <v>228</v>
      </c>
      <c r="D20" t="s">
        <v>549</v>
      </c>
      <c r="E20" s="117" t="s">
        <v>23</v>
      </c>
      <c r="F20" s="118">
        <f>41.3*0.278/8760</f>
        <v>1.3106621004566211E-3</v>
      </c>
      <c r="G20" s="114">
        <v>2020</v>
      </c>
      <c r="H20" s="4"/>
      <c r="I20" s="24"/>
    </row>
    <row r="21" spans="1:9" ht="15.75" customHeight="1" thickBot="1">
      <c r="A21" s="115" t="str">
        <f t="shared" si="0"/>
        <v>R12_CHN</v>
      </c>
      <c r="B21" s="2" t="s">
        <v>43</v>
      </c>
      <c r="C21" s="2" t="s">
        <v>226</v>
      </c>
      <c r="D21" t="s">
        <v>549</v>
      </c>
      <c r="E21" s="2" t="s">
        <v>29</v>
      </c>
      <c r="F21" s="3">
        <v>1</v>
      </c>
      <c r="G21" s="114">
        <v>2020</v>
      </c>
      <c r="H21" s="59"/>
      <c r="I21" s="44"/>
    </row>
    <row r="22" spans="1:9" ht="15.75" customHeight="1" thickBot="1">
      <c r="A22" s="115" t="str">
        <f t="shared" si="0"/>
        <v>R12_CHN</v>
      </c>
      <c r="B22" s="2" t="s">
        <v>43</v>
      </c>
      <c r="C22" s="2" t="s">
        <v>123</v>
      </c>
      <c r="D22" t="s">
        <v>549</v>
      </c>
      <c r="E22" s="2" t="s">
        <v>29</v>
      </c>
      <c r="F22" s="3">
        <v>1.37</v>
      </c>
      <c r="G22" s="114">
        <v>2020</v>
      </c>
      <c r="H22" s="4"/>
      <c r="I22" s="24"/>
    </row>
    <row r="23" spans="1:9" ht="15.75" customHeight="1" thickBot="1">
      <c r="A23" s="115" t="str">
        <f t="shared" si="0"/>
        <v>R12_CHN</v>
      </c>
      <c r="B23" s="2" t="s">
        <v>43</v>
      </c>
      <c r="C23" s="2" t="s">
        <v>124</v>
      </c>
      <c r="D23" t="s">
        <v>549</v>
      </c>
      <c r="E23" s="2" t="s">
        <v>29</v>
      </c>
      <c r="F23" s="5">
        <v>0.97</v>
      </c>
      <c r="G23" s="114">
        <v>2020</v>
      </c>
      <c r="H23"/>
      <c r="I23" s="24"/>
    </row>
    <row r="24" spans="1:9" ht="15.75" customHeight="1" thickBot="1">
      <c r="A24" s="115" t="str">
        <f t="shared" si="0"/>
        <v>R12_CHN</v>
      </c>
      <c r="B24" s="19" t="s">
        <v>43</v>
      </c>
      <c r="C24" s="19" t="s">
        <v>125</v>
      </c>
      <c r="D24" t="s">
        <v>549</v>
      </c>
      <c r="E24" s="19" t="s">
        <v>29</v>
      </c>
      <c r="F24" s="21">
        <v>0.03</v>
      </c>
      <c r="G24" s="114">
        <v>2020</v>
      </c>
      <c r="H24" s="4"/>
      <c r="I24" s="24"/>
    </row>
    <row r="25" spans="1:9" ht="15.75" customHeight="1" thickBot="1">
      <c r="A25" s="115" t="str">
        <f t="shared" si="0"/>
        <v>R12_CHN</v>
      </c>
      <c r="B25" s="30" t="s">
        <v>43</v>
      </c>
      <c r="C25" s="30" t="s">
        <v>35</v>
      </c>
      <c r="D25" t="s">
        <v>549</v>
      </c>
      <c r="E25" s="30" t="s">
        <v>36</v>
      </c>
      <c r="F25" s="31">
        <v>30</v>
      </c>
      <c r="G25" s="114">
        <v>2020</v>
      </c>
      <c r="H25" s="4"/>
      <c r="I25" s="24"/>
    </row>
    <row r="26" spans="1:9" ht="15.75" customHeight="1" thickBot="1">
      <c r="A26" s="115" t="str">
        <f t="shared" si="0"/>
        <v>R12_CHN</v>
      </c>
      <c r="B26" s="2" t="s">
        <v>43</v>
      </c>
      <c r="C26" s="2" t="s">
        <v>37</v>
      </c>
      <c r="D26" t="s">
        <v>549</v>
      </c>
      <c r="E26" s="2" t="s">
        <v>38</v>
      </c>
      <c r="F26" s="3">
        <v>0.8</v>
      </c>
      <c r="G26" s="114">
        <v>2020</v>
      </c>
      <c r="H26"/>
      <c r="I26" s="24"/>
    </row>
    <row r="27" spans="1:9" ht="15.75" customHeight="1" thickBot="1">
      <c r="A27" s="115" t="str">
        <f t="shared" si="0"/>
        <v>R12_CHN</v>
      </c>
      <c r="B27" s="2" t="s">
        <v>43</v>
      </c>
      <c r="C27" s="2" t="s">
        <v>39</v>
      </c>
      <c r="D27" t="s">
        <v>549</v>
      </c>
      <c r="E27" s="2" t="s">
        <v>40</v>
      </c>
      <c r="F27" s="42">
        <v>1400</v>
      </c>
      <c r="G27" s="114">
        <v>2020</v>
      </c>
      <c r="H27" s="9" t="s">
        <v>51</v>
      </c>
      <c r="I27" s="24"/>
    </row>
    <row r="28" spans="1:9" ht="15.75" customHeight="1" thickBot="1">
      <c r="A28" s="115" t="str">
        <f t="shared" si="0"/>
        <v>R12_CHN</v>
      </c>
      <c r="B28" s="2" t="s">
        <v>43</v>
      </c>
      <c r="C28" s="2" t="s">
        <v>41</v>
      </c>
      <c r="D28" t="s">
        <v>549</v>
      </c>
      <c r="E28" s="2" t="s">
        <v>40</v>
      </c>
      <c r="F28" s="3">
        <v>3500</v>
      </c>
      <c r="G28" s="114">
        <v>2020</v>
      </c>
      <c r="H28" s="9" t="s">
        <v>51</v>
      </c>
      <c r="I28" s="24"/>
    </row>
    <row r="29" spans="1:9" ht="15.75" customHeight="1" thickBot="1">
      <c r="A29" s="115" t="str">
        <f t="shared" si="0"/>
        <v>R12_CHN</v>
      </c>
      <c r="B29" s="19" t="s">
        <v>43</v>
      </c>
      <c r="C29" s="19" t="s">
        <v>42</v>
      </c>
      <c r="D29" t="s">
        <v>549</v>
      </c>
      <c r="E29" s="19" t="s">
        <v>40</v>
      </c>
      <c r="F29" s="21">
        <v>700</v>
      </c>
      <c r="G29" s="114">
        <v>2020</v>
      </c>
      <c r="H29" s="9" t="s">
        <v>51</v>
      </c>
      <c r="I29" s="24"/>
    </row>
    <row r="30" spans="1:9" ht="15" customHeight="1" thickBot="1">
      <c r="A30" s="115" t="str">
        <f>A29</f>
        <v>R12_CHN</v>
      </c>
      <c r="B30" s="2" t="s">
        <v>126</v>
      </c>
      <c r="C30" s="2" t="s">
        <v>127</v>
      </c>
      <c r="D30" t="s">
        <v>549</v>
      </c>
      <c r="E30" s="2" t="s">
        <v>29</v>
      </c>
      <c r="F30" s="3">
        <v>1</v>
      </c>
      <c r="G30" s="114">
        <v>2020</v>
      </c>
      <c r="H30" s="4"/>
      <c r="I30" s="24"/>
    </row>
    <row r="31" spans="1:9" ht="15" customHeight="1" thickBot="1">
      <c r="A31" s="115" t="str">
        <f t="shared" si="0"/>
        <v>R12_CHN</v>
      </c>
      <c r="B31" s="19" t="s">
        <v>128</v>
      </c>
      <c r="C31" s="19" t="s">
        <v>129</v>
      </c>
      <c r="D31" t="s">
        <v>549</v>
      </c>
      <c r="E31" s="19" t="s">
        <v>29</v>
      </c>
      <c r="F31" s="21">
        <v>1</v>
      </c>
      <c r="G31" s="114">
        <v>2020</v>
      </c>
      <c r="H31" s="23"/>
      <c r="I31" s="24"/>
    </row>
    <row r="32" spans="1:9" ht="15" customHeight="1" thickBot="1">
      <c r="A32" s="115" t="str">
        <f t="shared" si="0"/>
        <v>R12_CHN</v>
      </c>
      <c r="B32" s="2" t="s">
        <v>61</v>
      </c>
      <c r="C32" s="2" t="s">
        <v>516</v>
      </c>
      <c r="D32" t="s">
        <v>549</v>
      </c>
      <c r="E32" s="2" t="s">
        <v>23</v>
      </c>
      <c r="F32" s="15">
        <f>416*29288*0.278/8760</f>
        <v>386.65509406392698</v>
      </c>
      <c r="G32" s="114">
        <v>2020</v>
      </c>
      <c r="H32" s="15">
        <f>8.32*29288*0.278/8760</f>
        <v>7.7331018812785404</v>
      </c>
      <c r="I32" s="24"/>
    </row>
    <row r="33" spans="1:10" ht="15" customHeight="1" thickBot="1">
      <c r="A33" s="115" t="str">
        <f t="shared" si="0"/>
        <v>R12_CHN</v>
      </c>
      <c r="B33" s="2" t="s">
        <v>61</v>
      </c>
      <c r="C33" s="2" t="s">
        <v>227</v>
      </c>
      <c r="D33" t="s">
        <v>549</v>
      </c>
      <c r="E33" s="2" t="s">
        <v>23</v>
      </c>
      <c r="F33" s="15">
        <v>55</v>
      </c>
      <c r="G33" s="114">
        <v>2020</v>
      </c>
      <c r="H33" s="15">
        <f>35000*0.278/8760</f>
        <v>1.110730593607306</v>
      </c>
      <c r="I33" s="24"/>
    </row>
    <row r="34" spans="1:10" ht="15" customHeight="1" thickBot="1">
      <c r="A34" s="115" t="str">
        <f t="shared" si="0"/>
        <v>R12_CHN</v>
      </c>
      <c r="B34" s="19" t="s">
        <v>61</v>
      </c>
      <c r="C34" s="19" t="s">
        <v>130</v>
      </c>
      <c r="D34" t="s">
        <v>549</v>
      </c>
      <c r="E34" s="19" t="s">
        <v>29</v>
      </c>
      <c r="F34" s="21">
        <v>1</v>
      </c>
      <c r="G34" s="114">
        <v>2020</v>
      </c>
      <c r="H34" s="23"/>
      <c r="I34" s="29"/>
    </row>
    <row r="35" spans="1:10" ht="15" customHeight="1" thickBot="1">
      <c r="A35" s="115" t="str">
        <f t="shared" si="0"/>
        <v>R12_CHN</v>
      </c>
      <c r="B35" s="2" t="s">
        <v>63</v>
      </c>
      <c r="C35" s="2" t="s">
        <v>131</v>
      </c>
      <c r="D35" t="s">
        <v>549</v>
      </c>
      <c r="E35" s="2" t="s">
        <v>16</v>
      </c>
      <c r="F35" s="3">
        <v>0.34</v>
      </c>
      <c r="G35" s="114">
        <v>2020</v>
      </c>
      <c r="H35" s="4"/>
      <c r="I35" s="24"/>
    </row>
    <row r="36" spans="1:10" ht="15" customHeight="1" thickBot="1">
      <c r="A36" s="115" t="str">
        <f t="shared" si="0"/>
        <v>R12_CHN</v>
      </c>
      <c r="B36" s="2" t="s">
        <v>63</v>
      </c>
      <c r="C36" s="2" t="s">
        <v>132</v>
      </c>
      <c r="D36" t="s">
        <v>549</v>
      </c>
      <c r="E36" s="2" t="s">
        <v>16</v>
      </c>
      <c r="F36" s="3">
        <v>1.35</v>
      </c>
      <c r="G36" s="114">
        <v>2020</v>
      </c>
      <c r="H36"/>
      <c r="I36" s="24"/>
    </row>
    <row r="37" spans="1:10" ht="15" customHeight="1" thickBot="1">
      <c r="A37" s="115" t="str">
        <f t="shared" si="0"/>
        <v>R12_CHN</v>
      </c>
      <c r="B37" s="2" t="s">
        <v>63</v>
      </c>
      <c r="C37" s="2" t="s">
        <v>231</v>
      </c>
      <c r="D37" t="s">
        <v>549</v>
      </c>
      <c r="E37" s="2" t="s">
        <v>23</v>
      </c>
      <c r="F37" s="15">
        <f>26238*0.278/8760</f>
        <v>0.83266712328767134</v>
      </c>
      <c r="G37" s="114">
        <v>2020</v>
      </c>
      <c r="H37" s="59"/>
      <c r="I37" s="44"/>
    </row>
    <row r="38" spans="1:10" ht="15" customHeight="1" thickBot="1">
      <c r="A38" s="115" t="str">
        <f t="shared" si="0"/>
        <v>R12_CHN</v>
      </c>
      <c r="B38" s="2" t="s">
        <v>63</v>
      </c>
      <c r="C38" s="2" t="s">
        <v>227</v>
      </c>
      <c r="D38" t="s">
        <v>549</v>
      </c>
      <c r="E38" s="2" t="s">
        <v>23</v>
      </c>
      <c r="F38" s="15">
        <f>2874*0.278/8760</f>
        <v>9.1206849315068506E-2</v>
      </c>
      <c r="G38" s="114">
        <v>2020</v>
      </c>
      <c r="H38" s="4"/>
      <c r="I38" s="24"/>
    </row>
    <row r="39" spans="1:10" ht="15" customHeight="1" thickBot="1">
      <c r="A39" s="115" t="str">
        <f t="shared" si="0"/>
        <v>R12_CHN</v>
      </c>
      <c r="B39" s="2" t="s">
        <v>63</v>
      </c>
      <c r="C39" s="2" t="s">
        <v>228</v>
      </c>
      <c r="D39" t="s">
        <v>549</v>
      </c>
      <c r="E39" s="2" t="s">
        <v>23</v>
      </c>
      <c r="F39" s="15">
        <f>319*0.278/8760</f>
        <v>1.012351598173516E-2</v>
      </c>
      <c r="G39" s="114">
        <v>2020</v>
      </c>
      <c r="H39" s="4"/>
      <c r="I39" s="24"/>
    </row>
    <row r="40" spans="1:10" ht="15" customHeight="1" thickBot="1">
      <c r="A40" s="115" t="str">
        <f t="shared" si="0"/>
        <v>R12_CHN</v>
      </c>
      <c r="B40" s="19" t="s">
        <v>63</v>
      </c>
      <c r="C40" s="19" t="s">
        <v>133</v>
      </c>
      <c r="D40" t="s">
        <v>549</v>
      </c>
      <c r="E40" s="19" t="s">
        <v>29</v>
      </c>
      <c r="F40" s="21">
        <v>1</v>
      </c>
      <c r="G40" s="114">
        <v>2020</v>
      </c>
      <c r="H40" s="23"/>
      <c r="I40" s="29"/>
    </row>
    <row r="41" spans="1:10" ht="15" customHeight="1" thickBot="1">
      <c r="A41" s="115" t="str">
        <f t="shared" si="0"/>
        <v>R12_CHN</v>
      </c>
      <c r="B41" s="2" t="s">
        <v>62</v>
      </c>
      <c r="C41" s="2" t="s">
        <v>134</v>
      </c>
      <c r="D41" t="s">
        <v>549</v>
      </c>
      <c r="E41" s="2" t="s">
        <v>16</v>
      </c>
      <c r="F41" s="3">
        <v>1.02</v>
      </c>
      <c r="G41" s="114">
        <v>2020</v>
      </c>
      <c r="H41" s="4" t="s">
        <v>135</v>
      </c>
      <c r="I41" s="24"/>
    </row>
    <row r="42" spans="1:10" ht="15" customHeight="1" thickBot="1">
      <c r="A42" s="115" t="str">
        <f t="shared" si="0"/>
        <v>R12_CHN</v>
      </c>
      <c r="B42" s="2" t="s">
        <v>62</v>
      </c>
      <c r="C42" s="2" t="s">
        <v>136</v>
      </c>
      <c r="D42" t="s">
        <v>549</v>
      </c>
      <c r="E42" s="2" t="s">
        <v>16</v>
      </c>
      <c r="F42" s="8">
        <v>0.21</v>
      </c>
      <c r="G42" s="114">
        <v>2020</v>
      </c>
      <c r="H42"/>
      <c r="I42" s="24"/>
    </row>
    <row r="43" spans="1:10" ht="15" customHeight="1" thickBot="1">
      <c r="A43" s="115" t="str">
        <f t="shared" si="0"/>
        <v>R12_CHN</v>
      </c>
      <c r="B43" s="110" t="str">
        <f>B42</f>
        <v>Baking_graphitization</v>
      </c>
      <c r="C43" s="2" t="s">
        <v>227</v>
      </c>
      <c r="D43" t="s">
        <v>549</v>
      </c>
      <c r="E43" s="2" t="s">
        <v>23</v>
      </c>
      <c r="F43" s="70">
        <f>4000/8760</f>
        <v>0.45662100456621002</v>
      </c>
      <c r="G43" s="114">
        <v>2020</v>
      </c>
      <c r="H43" s="70"/>
      <c r="I43" s="71"/>
    </row>
    <row r="44" spans="1:10" ht="15" customHeight="1" thickBot="1">
      <c r="A44" s="115" t="str">
        <f t="shared" si="0"/>
        <v>R12_CHN</v>
      </c>
      <c r="B44" s="2" t="s">
        <v>62</v>
      </c>
      <c r="C44" s="2" t="s">
        <v>231</v>
      </c>
      <c r="D44" t="s">
        <v>549</v>
      </c>
      <c r="E44" s="2" t="s">
        <v>23</v>
      </c>
      <c r="F44" s="25">
        <f>1668/8760</f>
        <v>0.19041095890410958</v>
      </c>
      <c r="G44" s="114">
        <v>2020</v>
      </c>
      <c r="H44" s="4" t="s">
        <v>257</v>
      </c>
      <c r="I44" s="44"/>
    </row>
    <row r="45" spans="1:10" ht="15" customHeight="1" thickBot="1">
      <c r="A45" s="115" t="str">
        <f t="shared" si="0"/>
        <v>R12_CHN</v>
      </c>
      <c r="B45" s="19" t="s">
        <v>62</v>
      </c>
      <c r="C45" s="19" t="s">
        <v>137</v>
      </c>
      <c r="D45" t="s">
        <v>549</v>
      </c>
      <c r="E45" s="19" t="s">
        <v>29</v>
      </c>
      <c r="F45" s="19">
        <v>1</v>
      </c>
      <c r="G45" s="114">
        <v>2020</v>
      </c>
      <c r="H45" s="67"/>
      <c r="I45" s="29"/>
    </row>
    <row r="46" spans="1:10" ht="15" customHeight="1" thickBot="1">
      <c r="A46" s="115" t="str">
        <f t="shared" si="0"/>
        <v>R12_CHN</v>
      </c>
      <c r="B46" s="2" t="s">
        <v>63</v>
      </c>
      <c r="C46" s="2" t="s">
        <v>39</v>
      </c>
      <c r="D46" t="s">
        <v>549</v>
      </c>
      <c r="E46" s="2" t="s">
        <v>40</v>
      </c>
      <c r="F46" s="3">
        <v>258</v>
      </c>
      <c r="G46" s="114">
        <v>2020</v>
      </c>
      <c r="H46" s="9" t="s">
        <v>138</v>
      </c>
      <c r="J46" s="7"/>
    </row>
    <row r="47" spans="1:10" ht="15" customHeight="1" thickBot="1">
      <c r="A47" s="115" t="str">
        <f t="shared" si="0"/>
        <v>R12_CHN</v>
      </c>
      <c r="B47" s="2" t="s">
        <v>63</v>
      </c>
      <c r="C47" s="2" t="s">
        <v>41</v>
      </c>
      <c r="D47" t="s">
        <v>549</v>
      </c>
      <c r="E47" s="2" t="s">
        <v>40</v>
      </c>
      <c r="F47" s="6">
        <v>224</v>
      </c>
      <c r="G47" s="114">
        <v>2020</v>
      </c>
      <c r="H47" s="9" t="s">
        <v>138</v>
      </c>
    </row>
    <row r="48" spans="1:10" ht="15.75" thickBot="1">
      <c r="A48" s="115" t="str">
        <f t="shared" si="0"/>
        <v>R12_CHN</v>
      </c>
      <c r="B48" s="2" t="s">
        <v>63</v>
      </c>
      <c r="C48" s="2" t="s">
        <v>42</v>
      </c>
      <c r="D48" t="s">
        <v>549</v>
      </c>
      <c r="E48" s="2" t="s">
        <v>40</v>
      </c>
      <c r="F48" s="11">
        <v>580</v>
      </c>
      <c r="G48" s="114">
        <v>2020</v>
      </c>
      <c r="H48" s="9" t="s">
        <v>138</v>
      </c>
    </row>
    <row r="49" spans="1:9" ht="15.75" thickBot="1">
      <c r="A49" s="115" t="str">
        <f t="shared" si="0"/>
        <v>R12_CHN</v>
      </c>
      <c r="B49" s="2" t="s">
        <v>61</v>
      </c>
      <c r="C49" s="2" t="s">
        <v>39</v>
      </c>
      <c r="D49" t="s">
        <v>549</v>
      </c>
      <c r="E49" s="2" t="s">
        <v>40</v>
      </c>
      <c r="F49" s="6">
        <v>903</v>
      </c>
      <c r="G49" s="114">
        <v>2020</v>
      </c>
      <c r="H49" s="7"/>
    </row>
    <row r="50" spans="1:9" ht="15.75" thickBot="1">
      <c r="A50" s="115" t="str">
        <f t="shared" si="0"/>
        <v>R12_CHN</v>
      </c>
      <c r="B50" s="2" t="s">
        <v>61</v>
      </c>
      <c r="C50" s="2" t="s">
        <v>41</v>
      </c>
      <c r="D50" t="s">
        <v>549</v>
      </c>
      <c r="E50" s="2" t="s">
        <v>40</v>
      </c>
      <c r="F50" s="2">
        <v>784</v>
      </c>
      <c r="G50" s="114">
        <v>2020</v>
      </c>
      <c r="H50" s="7"/>
    </row>
    <row r="51" spans="1:9" ht="15.75" thickBot="1">
      <c r="A51" s="115" t="str">
        <f t="shared" si="0"/>
        <v>R12_CHN</v>
      </c>
      <c r="B51" s="2" t="s">
        <v>61</v>
      </c>
      <c r="C51" s="2" t="s">
        <v>42</v>
      </c>
      <c r="D51" t="s">
        <v>549</v>
      </c>
      <c r="E51" s="2" t="s">
        <v>40</v>
      </c>
      <c r="F51" s="6">
        <v>203</v>
      </c>
      <c r="G51" s="114">
        <v>2020</v>
      </c>
      <c r="H51" s="7"/>
    </row>
    <row r="52" spans="1:9" ht="15.75" thickBot="1">
      <c r="A52" s="115" t="str">
        <f t="shared" si="0"/>
        <v>R12_CHN</v>
      </c>
      <c r="B52" s="2" t="s">
        <v>62</v>
      </c>
      <c r="C52" s="2" t="s">
        <v>39</v>
      </c>
      <c r="D52" t="s">
        <v>549</v>
      </c>
      <c r="E52" s="2" t="s">
        <v>40</v>
      </c>
      <c r="F52" s="11">
        <v>228.57300000000001</v>
      </c>
      <c r="G52" s="114">
        <v>2020</v>
      </c>
      <c r="H52" s="26" t="s">
        <v>135</v>
      </c>
      <c r="I52" s="24"/>
    </row>
    <row r="53" spans="1:9" ht="15.75" thickBot="1">
      <c r="A53" s="115" t="str">
        <f t="shared" si="0"/>
        <v>R12_CHN</v>
      </c>
      <c r="B53" s="2" t="s">
        <v>62</v>
      </c>
      <c r="C53" s="2" t="s">
        <v>41</v>
      </c>
      <c r="D53" t="s">
        <v>549</v>
      </c>
      <c r="E53" s="2" t="s">
        <v>40</v>
      </c>
      <c r="F53" s="3">
        <v>1169</v>
      </c>
      <c r="G53" s="114">
        <v>2020</v>
      </c>
      <c r="H53" s="26" t="s">
        <v>139</v>
      </c>
      <c r="I53" s="24"/>
    </row>
    <row r="54" spans="1:9" ht="15.75" thickBot="1">
      <c r="A54" s="115" t="str">
        <f t="shared" si="0"/>
        <v>R12_CHN</v>
      </c>
      <c r="B54" s="2" t="s">
        <v>62</v>
      </c>
      <c r="C54" s="2" t="s">
        <v>42</v>
      </c>
      <c r="D54" t="s">
        <v>549</v>
      </c>
      <c r="E54" s="2" t="s">
        <v>40</v>
      </c>
      <c r="F54" s="3">
        <v>700</v>
      </c>
      <c r="G54" s="114">
        <v>2020</v>
      </c>
      <c r="H54" s="4" t="s">
        <v>256</v>
      </c>
      <c r="I54" s="24"/>
    </row>
    <row r="55" spans="1:9" ht="15.75" thickBot="1">
      <c r="A55" s="115" t="str">
        <f>A53</f>
        <v>R12_CHN</v>
      </c>
      <c r="B55" s="2" t="s">
        <v>518</v>
      </c>
      <c r="C55" s="2" t="s">
        <v>517</v>
      </c>
      <c r="D55" t="s">
        <v>549</v>
      </c>
      <c r="E55" s="2" t="s">
        <v>519</v>
      </c>
      <c r="F55" s="5">
        <v>1</v>
      </c>
      <c r="G55" s="114">
        <v>2020</v>
      </c>
      <c r="H55" s="161"/>
      <c r="I55" s="71"/>
    </row>
    <row r="56" spans="1:9" ht="15.75" thickBot="1">
      <c r="A56" s="115" t="str">
        <f>A54</f>
        <v>R12_CHN</v>
      </c>
      <c r="B56" s="2" t="s">
        <v>140</v>
      </c>
      <c r="C56" s="2" t="s">
        <v>141</v>
      </c>
      <c r="D56" t="s">
        <v>549</v>
      </c>
      <c r="E56" s="2" t="s">
        <v>29</v>
      </c>
      <c r="F56" s="5">
        <v>1</v>
      </c>
      <c r="G56" s="114">
        <v>2020</v>
      </c>
      <c r="H56"/>
      <c r="I56" s="24"/>
    </row>
    <row r="57" spans="1:9" ht="15.75" thickBot="1">
      <c r="A57" s="115" t="str">
        <f t="shared" si="0"/>
        <v>R12_CHN</v>
      </c>
      <c r="B57" s="19" t="s">
        <v>142</v>
      </c>
      <c r="C57" s="19" t="s">
        <v>143</v>
      </c>
      <c r="D57" t="s">
        <v>549</v>
      </c>
      <c r="E57" s="19" t="s">
        <v>29</v>
      </c>
      <c r="F57" s="27">
        <v>1</v>
      </c>
      <c r="G57" s="114">
        <v>2020</v>
      </c>
      <c r="H57" s="20"/>
      <c r="I57" s="24"/>
    </row>
    <row r="58" spans="1:9" ht="15.75" thickBot="1">
      <c r="A58" s="115" t="str">
        <f t="shared" si="0"/>
        <v>R12_CHN</v>
      </c>
      <c r="B58" s="2" t="s">
        <v>63</v>
      </c>
      <c r="C58" s="2" t="s">
        <v>35</v>
      </c>
      <c r="D58" t="s">
        <v>549</v>
      </c>
      <c r="E58" s="2" t="s">
        <v>36</v>
      </c>
      <c r="F58" s="121">
        <v>20</v>
      </c>
      <c r="G58" s="114">
        <v>2020</v>
      </c>
      <c r="H58"/>
      <c r="I58" s="24"/>
    </row>
    <row r="59" spans="1:9" ht="15.75" thickBot="1">
      <c r="A59" s="115" t="str">
        <f t="shared" si="0"/>
        <v>R12_CHN</v>
      </c>
      <c r="B59" s="2" t="s">
        <v>63</v>
      </c>
      <c r="C59" s="2" t="s">
        <v>37</v>
      </c>
      <c r="D59" t="s">
        <v>549</v>
      </c>
      <c r="E59" s="2" t="s">
        <v>38</v>
      </c>
      <c r="F59" s="5">
        <v>0.8</v>
      </c>
      <c r="G59" s="114">
        <v>2020</v>
      </c>
      <c r="H59"/>
      <c r="I59" s="24"/>
    </row>
    <row r="60" spans="1:9" ht="15.75" thickBot="1">
      <c r="A60" s="115" t="str">
        <f t="shared" si="0"/>
        <v>R12_CHN</v>
      </c>
      <c r="B60" s="2" t="s">
        <v>61</v>
      </c>
      <c r="C60" s="2" t="s">
        <v>35</v>
      </c>
      <c r="D60" t="s">
        <v>549</v>
      </c>
      <c r="E60" s="2" t="s">
        <v>36</v>
      </c>
      <c r="F60" s="121">
        <v>20</v>
      </c>
      <c r="G60" s="114">
        <v>2020</v>
      </c>
      <c r="H60" s="4"/>
      <c r="I60" s="24"/>
    </row>
    <row r="61" spans="1:9" ht="15.75" thickBot="1">
      <c r="A61" s="115" t="str">
        <f t="shared" si="0"/>
        <v>R12_CHN</v>
      </c>
      <c r="B61" s="2" t="s">
        <v>61</v>
      </c>
      <c r="C61" s="2" t="s">
        <v>37</v>
      </c>
      <c r="D61" t="s">
        <v>549</v>
      </c>
      <c r="E61" s="2" t="s">
        <v>38</v>
      </c>
      <c r="F61" s="5">
        <v>0.8</v>
      </c>
      <c r="G61" s="114">
        <v>2020</v>
      </c>
      <c r="H61" s="4"/>
      <c r="I61" s="24"/>
    </row>
    <row r="62" spans="1:9" ht="15.75" thickBot="1">
      <c r="A62" s="115" t="str">
        <f t="shared" si="0"/>
        <v>R12_CHN</v>
      </c>
      <c r="B62" s="2" t="s">
        <v>62</v>
      </c>
      <c r="C62" s="2" t="s">
        <v>35</v>
      </c>
      <c r="D62" t="s">
        <v>549</v>
      </c>
      <c r="E62" s="2" t="s">
        <v>36</v>
      </c>
      <c r="F62" s="121">
        <v>20</v>
      </c>
      <c r="G62" s="114">
        <v>2020</v>
      </c>
      <c r="H62" s="4"/>
      <c r="I62" s="24"/>
    </row>
    <row r="63" spans="1:9" ht="15.75" thickBot="1">
      <c r="A63" s="115" t="str">
        <f t="shared" si="0"/>
        <v>R12_CHN</v>
      </c>
      <c r="B63" s="19" t="s">
        <v>62</v>
      </c>
      <c r="C63" s="19" t="s">
        <v>37</v>
      </c>
      <c r="D63" t="s">
        <v>549</v>
      </c>
      <c r="E63" s="19" t="s">
        <v>38</v>
      </c>
      <c r="F63" s="27">
        <v>0.8</v>
      </c>
      <c r="G63" s="114">
        <v>2020</v>
      </c>
      <c r="H63"/>
      <c r="I63" s="24"/>
    </row>
    <row r="64" spans="1:9" ht="15.75" thickBot="1">
      <c r="A64" s="115" t="str">
        <f t="shared" si="0"/>
        <v>R12_CHN</v>
      </c>
      <c r="B64" s="2" t="s">
        <v>64</v>
      </c>
      <c r="C64" s="2" t="s">
        <v>528</v>
      </c>
      <c r="D64" t="s">
        <v>549</v>
      </c>
      <c r="E64" s="2" t="s">
        <v>16</v>
      </c>
      <c r="F64" s="5">
        <v>24.1</v>
      </c>
      <c r="G64" s="114">
        <v>2020</v>
      </c>
      <c r="H64" t="s">
        <v>144</v>
      </c>
      <c r="I64" s="24"/>
    </row>
    <row r="65" spans="1:9" ht="15.75" thickBot="1">
      <c r="A65" s="115" t="str">
        <f t="shared" si="0"/>
        <v>R12_CHN</v>
      </c>
      <c r="B65" t="s">
        <v>64</v>
      </c>
      <c r="C65" s="2" t="s">
        <v>227</v>
      </c>
      <c r="D65" t="s">
        <v>549</v>
      </c>
      <c r="E65" s="2" t="s">
        <v>23</v>
      </c>
      <c r="F65" s="15">
        <f>307*0.278/8760</f>
        <v>9.7426940639269415E-3</v>
      </c>
      <c r="G65" s="114">
        <v>2020</v>
      </c>
      <c r="H65"/>
      <c r="I65" s="24"/>
    </row>
    <row r="66" spans="1:9" ht="15.75" thickBot="1">
      <c r="A66" s="115" t="str">
        <f t="shared" si="0"/>
        <v>R12_CHN</v>
      </c>
      <c r="B66" t="s">
        <v>64</v>
      </c>
      <c r="C66" s="2" t="s">
        <v>228</v>
      </c>
      <c r="D66" t="s">
        <v>549</v>
      </c>
      <c r="E66" s="2" t="s">
        <v>23</v>
      </c>
      <c r="F66" s="15">
        <f>265*0.278/8760</f>
        <v>8.4098173515981742E-3</v>
      </c>
      <c r="G66" s="114">
        <v>2020</v>
      </c>
      <c r="H66"/>
      <c r="I66" s="24"/>
    </row>
    <row r="67" spans="1:9" ht="15.75" thickBot="1">
      <c r="A67" s="115" t="str">
        <f t="shared" si="0"/>
        <v>R12_CHN</v>
      </c>
      <c r="B67" t="s">
        <v>64</v>
      </c>
      <c r="C67" s="2" t="s">
        <v>119</v>
      </c>
      <c r="D67" t="s">
        <v>549</v>
      </c>
      <c r="E67" s="2" t="s">
        <v>16</v>
      </c>
      <c r="F67" s="5">
        <v>2.4</v>
      </c>
      <c r="G67" s="114">
        <v>2020</v>
      </c>
      <c r="H67" t="s">
        <v>145</v>
      </c>
      <c r="I67" s="24"/>
    </row>
    <row r="68" spans="1:9" ht="15.75" thickBot="1">
      <c r="A68" s="115" t="str">
        <f t="shared" ref="A68:A129" si="1">A67</f>
        <v>R12_CHN</v>
      </c>
      <c r="B68" t="s">
        <v>64</v>
      </c>
      <c r="C68" s="2" t="s">
        <v>146</v>
      </c>
      <c r="D68" t="s">
        <v>549</v>
      </c>
      <c r="E68" s="2" t="s">
        <v>29</v>
      </c>
      <c r="F68" s="5">
        <v>1</v>
      </c>
      <c r="G68" s="114">
        <v>2020</v>
      </c>
      <c r="H68"/>
      <c r="I68" s="24"/>
    </row>
    <row r="69" spans="1:9" ht="15.75" thickBot="1">
      <c r="A69" s="115" t="str">
        <f t="shared" si="1"/>
        <v>R12_CHN</v>
      </c>
      <c r="B69" s="20" t="s">
        <v>64</v>
      </c>
      <c r="C69" s="19" t="s">
        <v>147</v>
      </c>
      <c r="D69" t="s">
        <v>549</v>
      </c>
      <c r="E69" s="19" t="s">
        <v>29</v>
      </c>
      <c r="F69" s="27">
        <v>8.52</v>
      </c>
      <c r="G69" s="114">
        <v>2020</v>
      </c>
      <c r="H69"/>
      <c r="I69" s="24"/>
    </row>
    <row r="70" spans="1:9" ht="15.75" thickBot="1">
      <c r="A70" s="115" t="str">
        <f t="shared" si="1"/>
        <v>R12_CHN</v>
      </c>
      <c r="B70" t="s">
        <v>67</v>
      </c>
      <c r="C70" s="2" t="s">
        <v>148</v>
      </c>
      <c r="D70" t="s">
        <v>549</v>
      </c>
      <c r="E70" s="2" t="s">
        <v>16</v>
      </c>
      <c r="F70" s="5">
        <v>4</v>
      </c>
      <c r="G70" s="114">
        <v>2020</v>
      </c>
      <c r="H70" s="4"/>
      <c r="I70" s="24"/>
    </row>
    <row r="71" spans="1:9" ht="15.75" thickBot="1">
      <c r="A71" s="115" t="str">
        <f t="shared" si="1"/>
        <v>R12_CHN</v>
      </c>
      <c r="B71" t="s">
        <v>67</v>
      </c>
      <c r="C71" s="2" t="s">
        <v>149</v>
      </c>
      <c r="D71" t="s">
        <v>549</v>
      </c>
      <c r="E71" s="2" t="s">
        <v>16</v>
      </c>
      <c r="F71" s="5">
        <v>2</v>
      </c>
      <c r="G71" s="114">
        <v>2020</v>
      </c>
      <c r="H71"/>
      <c r="I71" s="24"/>
    </row>
    <row r="72" spans="1:9" ht="15.75" thickBot="1">
      <c r="A72" s="115" t="str">
        <f t="shared" si="1"/>
        <v>R12_CHN</v>
      </c>
      <c r="B72" t="s">
        <v>67</v>
      </c>
      <c r="C72" s="2" t="s">
        <v>118</v>
      </c>
      <c r="D72" t="s">
        <v>549</v>
      </c>
      <c r="E72" s="2" t="s">
        <v>16</v>
      </c>
      <c r="F72" s="5">
        <v>0.08</v>
      </c>
      <c r="G72" s="114">
        <v>2020</v>
      </c>
      <c r="H72"/>
      <c r="I72" s="24"/>
    </row>
    <row r="73" spans="1:9" ht="15.75" thickBot="1">
      <c r="A73" s="115" t="str">
        <f t="shared" si="1"/>
        <v>R12_CHN</v>
      </c>
      <c r="B73" t="s">
        <v>67</v>
      </c>
      <c r="C73" s="2" t="s">
        <v>227</v>
      </c>
      <c r="D73" t="s">
        <v>549</v>
      </c>
      <c r="E73" s="2" t="s">
        <v>23</v>
      </c>
      <c r="F73" s="15">
        <f>1500*0.278/8760</f>
        <v>4.7602739726027403E-2</v>
      </c>
      <c r="G73" s="114">
        <v>2020</v>
      </c>
      <c r="H73"/>
      <c r="I73" s="24"/>
    </row>
    <row r="74" spans="1:9" ht="15" customHeight="1" thickBot="1">
      <c r="A74" s="115" t="str">
        <f t="shared" si="1"/>
        <v>R12_CHN</v>
      </c>
      <c r="B74" t="s">
        <v>67</v>
      </c>
      <c r="C74" s="2" t="s">
        <v>231</v>
      </c>
      <c r="D74" t="s">
        <v>549</v>
      </c>
      <c r="E74" s="2" t="s">
        <v>23</v>
      </c>
      <c r="F74" s="15">
        <f>2800*0.278/8760</f>
        <v>8.8858447488584485E-2</v>
      </c>
      <c r="G74" s="114">
        <v>2020</v>
      </c>
      <c r="H74" s="59"/>
      <c r="I74" s="44"/>
    </row>
    <row r="75" spans="1:9" ht="15.75" thickBot="1">
      <c r="A75" s="115" t="str">
        <f t="shared" si="1"/>
        <v>R12_CHN</v>
      </c>
      <c r="B75" t="s">
        <v>67</v>
      </c>
      <c r="C75" s="2" t="s">
        <v>228</v>
      </c>
      <c r="D75" t="s">
        <v>549</v>
      </c>
      <c r="E75" s="2" t="s">
        <v>23</v>
      </c>
      <c r="F75" s="15">
        <f>400*0.278/8760</f>
        <v>1.2694063926940641E-2</v>
      </c>
      <c r="G75" s="114">
        <v>2020</v>
      </c>
      <c r="H75"/>
      <c r="I75" s="24"/>
    </row>
    <row r="76" spans="1:9" ht="15.75" thickBot="1">
      <c r="A76" s="115" t="str">
        <f t="shared" si="1"/>
        <v>R12_CHN</v>
      </c>
      <c r="B76" s="20" t="s">
        <v>67</v>
      </c>
      <c r="C76" s="19" t="s">
        <v>150</v>
      </c>
      <c r="D76" t="s">
        <v>549</v>
      </c>
      <c r="E76" s="19" t="s">
        <v>29</v>
      </c>
      <c r="F76" s="27">
        <v>1</v>
      </c>
      <c r="G76" s="114">
        <v>2020</v>
      </c>
      <c r="H76" s="20"/>
      <c r="I76" s="29"/>
    </row>
    <row r="77" spans="1:9" ht="15.75" thickBot="1">
      <c r="A77" s="115" t="str">
        <f t="shared" si="1"/>
        <v>R12_CHN</v>
      </c>
      <c r="B77" t="s">
        <v>68</v>
      </c>
      <c r="C77" s="2" t="s">
        <v>151</v>
      </c>
      <c r="D77" t="s">
        <v>549</v>
      </c>
      <c r="E77" s="2" t="s">
        <v>16</v>
      </c>
      <c r="F77" s="5">
        <v>1.05</v>
      </c>
      <c r="G77" s="114">
        <v>2020</v>
      </c>
      <c r="H77"/>
      <c r="I77" s="24"/>
    </row>
    <row r="78" spans="1:9" ht="15.75" thickBot="1">
      <c r="A78" s="115" t="str">
        <f t="shared" si="1"/>
        <v>R12_CHN</v>
      </c>
      <c r="B78" t="s">
        <v>68</v>
      </c>
      <c r="C78" s="2" t="s">
        <v>152</v>
      </c>
      <c r="D78" t="s">
        <v>549</v>
      </c>
      <c r="E78" s="2" t="s">
        <v>16</v>
      </c>
      <c r="F78" s="5">
        <v>1.1499999999999999</v>
      </c>
      <c r="G78" s="114">
        <v>2020</v>
      </c>
      <c r="H78"/>
      <c r="I78" s="24"/>
    </row>
    <row r="79" spans="1:9" ht="15.75" thickBot="1">
      <c r="A79" s="115" t="str">
        <f t="shared" si="1"/>
        <v>R12_CHN</v>
      </c>
      <c r="B79" t="s">
        <v>68</v>
      </c>
      <c r="C79" s="2" t="s">
        <v>227</v>
      </c>
      <c r="D79" t="s">
        <v>549</v>
      </c>
      <c r="E79" s="2" t="s">
        <v>23</v>
      </c>
      <c r="F79" s="15">
        <f>5000*0.278/8760</f>
        <v>0.15867579908675802</v>
      </c>
      <c r="G79" s="114">
        <v>2020</v>
      </c>
      <c r="H79"/>
      <c r="I79" s="24"/>
    </row>
    <row r="80" spans="1:9" ht="15" customHeight="1" thickBot="1">
      <c r="A80" s="115" t="str">
        <f t="shared" si="1"/>
        <v>R12_CHN</v>
      </c>
      <c r="B80" t="s">
        <v>68</v>
      </c>
      <c r="C80" s="2" t="s">
        <v>231</v>
      </c>
      <c r="D80" t="s">
        <v>549</v>
      </c>
      <c r="E80" s="2" t="s">
        <v>23</v>
      </c>
      <c r="F80" s="15">
        <f>21000*0.278/8760</f>
        <v>0.66643835616438363</v>
      </c>
      <c r="G80" s="114">
        <v>2020</v>
      </c>
      <c r="H80" s="59"/>
      <c r="I80" s="44"/>
    </row>
    <row r="81" spans="1:9" ht="15.75" thickBot="1">
      <c r="A81" s="115" t="str">
        <f t="shared" si="1"/>
        <v>R12_CHN</v>
      </c>
      <c r="B81" t="s">
        <v>68</v>
      </c>
      <c r="C81" s="2" t="s">
        <v>228</v>
      </c>
      <c r="D81" t="s">
        <v>549</v>
      </c>
      <c r="E81" s="2" t="s">
        <v>23</v>
      </c>
      <c r="F81" s="15">
        <f>3000*0.278/8760</f>
        <v>9.5205479452054806E-2</v>
      </c>
      <c r="G81" s="114">
        <v>2020</v>
      </c>
      <c r="H81"/>
      <c r="I81" s="24">
        <f>3000*0.278/8760</f>
        <v>9.5205479452054806E-2</v>
      </c>
    </row>
    <row r="82" spans="1:9" ht="15.75" thickBot="1">
      <c r="A82" s="115" t="str">
        <f t="shared" si="1"/>
        <v>R12_CHN</v>
      </c>
      <c r="B82" t="s">
        <v>68</v>
      </c>
      <c r="C82" s="2" t="s">
        <v>119</v>
      </c>
      <c r="D82" t="s">
        <v>549</v>
      </c>
      <c r="E82" s="2" t="s">
        <v>16</v>
      </c>
      <c r="F82" s="5">
        <v>0.5</v>
      </c>
      <c r="G82" s="114">
        <v>2020</v>
      </c>
      <c r="H82" t="s">
        <v>145</v>
      </c>
      <c r="I82" s="24"/>
    </row>
    <row r="83" spans="1:9" ht="15.75" thickBot="1">
      <c r="A83" s="115" t="str">
        <f t="shared" si="1"/>
        <v>R12_CHN</v>
      </c>
      <c r="B83" s="20" t="s">
        <v>68</v>
      </c>
      <c r="C83" s="19" t="s">
        <v>153</v>
      </c>
      <c r="D83" t="s">
        <v>549</v>
      </c>
      <c r="E83" s="19" t="s">
        <v>29</v>
      </c>
      <c r="F83" s="27">
        <v>1</v>
      </c>
      <c r="G83" s="114">
        <v>2020</v>
      </c>
      <c r="H83"/>
      <c r="I83" s="24"/>
    </row>
    <row r="84" spans="1:9" ht="15.75" thickBot="1">
      <c r="A84" s="115" t="str">
        <f t="shared" si="1"/>
        <v>R12_CHN</v>
      </c>
      <c r="B84" t="s">
        <v>64</v>
      </c>
      <c r="C84" s="2" t="s">
        <v>39</v>
      </c>
      <c r="D84" t="s">
        <v>549</v>
      </c>
      <c r="E84" s="2" t="s">
        <v>40</v>
      </c>
      <c r="F84" s="119">
        <v>100</v>
      </c>
      <c r="G84" s="114">
        <v>2020</v>
      </c>
      <c r="H84" t="s">
        <v>154</v>
      </c>
      <c r="I84" s="24"/>
    </row>
    <row r="85" spans="1:9" ht="15.75" thickBot="1">
      <c r="A85" s="115" t="str">
        <f t="shared" si="1"/>
        <v>R12_CHN</v>
      </c>
      <c r="B85" t="s">
        <v>64</v>
      </c>
      <c r="C85" s="2" t="s">
        <v>41</v>
      </c>
      <c r="D85" t="s">
        <v>549</v>
      </c>
      <c r="E85" s="2" t="s">
        <v>40</v>
      </c>
      <c r="F85" s="3">
        <v>500</v>
      </c>
      <c r="G85" s="114">
        <v>2020</v>
      </c>
      <c r="H85" t="s">
        <v>154</v>
      </c>
      <c r="I85" s="24"/>
    </row>
    <row r="86" spans="1:9" ht="15.75" customHeight="1" thickBot="1">
      <c r="A86" s="115" t="str">
        <f t="shared" si="1"/>
        <v>R12_CHN</v>
      </c>
      <c r="B86" t="s">
        <v>64</v>
      </c>
      <c r="C86" s="2" t="s">
        <v>42</v>
      </c>
      <c r="D86" t="s">
        <v>549</v>
      </c>
      <c r="E86" s="2" t="s">
        <v>40</v>
      </c>
      <c r="F86" s="119">
        <v>117.12</v>
      </c>
      <c r="G86" s="114">
        <v>2020</v>
      </c>
      <c r="H86" s="38" t="s">
        <v>155</v>
      </c>
      <c r="I86" s="24"/>
    </row>
    <row r="87" spans="1:9" ht="15.75" thickBot="1">
      <c r="A87" s="115" t="str">
        <f t="shared" si="1"/>
        <v>R12_CHN</v>
      </c>
      <c r="B87" t="s">
        <v>67</v>
      </c>
      <c r="C87" s="2" t="s">
        <v>39</v>
      </c>
      <c r="D87" t="s">
        <v>549</v>
      </c>
      <c r="E87" s="2" t="s">
        <v>40</v>
      </c>
      <c r="F87" s="119">
        <v>1000</v>
      </c>
      <c r="G87" s="114">
        <v>2020</v>
      </c>
      <c r="H87" t="s">
        <v>154</v>
      </c>
      <c r="I87" s="24"/>
    </row>
    <row r="88" spans="1:9" ht="15.75" thickBot="1">
      <c r="A88" s="115" t="str">
        <f t="shared" si="1"/>
        <v>R12_CHN</v>
      </c>
      <c r="B88" s="2" t="s">
        <v>67</v>
      </c>
      <c r="C88" s="2" t="s">
        <v>41</v>
      </c>
      <c r="D88" t="s">
        <v>549</v>
      </c>
      <c r="E88" s="2" t="s">
        <v>40</v>
      </c>
      <c r="F88" s="119">
        <v>500</v>
      </c>
      <c r="G88" s="114">
        <v>2020</v>
      </c>
      <c r="H88" t="s">
        <v>154</v>
      </c>
      <c r="I88" s="24"/>
    </row>
    <row r="89" spans="1:9" ht="15.75" thickBot="1">
      <c r="A89" s="115" t="str">
        <f t="shared" si="1"/>
        <v>R12_CHN</v>
      </c>
      <c r="B89" s="2" t="s">
        <v>67</v>
      </c>
      <c r="C89" s="2" t="s">
        <v>42</v>
      </c>
      <c r="D89" t="s">
        <v>549</v>
      </c>
      <c r="E89" s="2" t="s">
        <v>40</v>
      </c>
      <c r="F89" s="119">
        <v>215</v>
      </c>
      <c r="G89" s="114">
        <v>2020</v>
      </c>
      <c r="H89" s="4"/>
      <c r="I89" s="24"/>
    </row>
    <row r="90" spans="1:9" ht="15.75" thickBot="1">
      <c r="A90" s="115" t="str">
        <f t="shared" si="1"/>
        <v>R12_CHN</v>
      </c>
      <c r="B90" s="2" t="s">
        <v>68</v>
      </c>
      <c r="C90" s="2" t="s">
        <v>39</v>
      </c>
      <c r="D90" t="s">
        <v>549</v>
      </c>
      <c r="E90" s="2" t="s">
        <v>40</v>
      </c>
      <c r="F90" s="3">
        <v>700</v>
      </c>
      <c r="G90" s="114">
        <v>2020</v>
      </c>
      <c r="H90" s="38"/>
      <c r="I90" s="24"/>
    </row>
    <row r="91" spans="1:9" ht="15.75" thickBot="1">
      <c r="A91" s="115" t="str">
        <f t="shared" si="1"/>
        <v>R12_CHN</v>
      </c>
      <c r="B91" s="2" t="s">
        <v>68</v>
      </c>
      <c r="C91" s="2" t="s">
        <v>41</v>
      </c>
      <c r="D91" t="s">
        <v>549</v>
      </c>
      <c r="E91" s="2" t="s">
        <v>40</v>
      </c>
      <c r="F91" s="119">
        <v>700</v>
      </c>
      <c r="G91" s="114">
        <v>2020</v>
      </c>
      <c r="H91" s="38"/>
      <c r="I91" s="24"/>
    </row>
    <row r="92" spans="1:9" ht="15.75" thickBot="1">
      <c r="A92" s="115" t="str">
        <f t="shared" si="1"/>
        <v>R12_CHN</v>
      </c>
      <c r="B92" s="19" t="s">
        <v>68</v>
      </c>
      <c r="C92" s="19" t="s">
        <v>42</v>
      </c>
      <c r="D92" t="s">
        <v>549</v>
      </c>
      <c r="E92" s="19" t="s">
        <v>40</v>
      </c>
      <c r="F92" s="119">
        <v>635</v>
      </c>
      <c r="G92" s="114">
        <v>2020</v>
      </c>
      <c r="H92" s="38" t="s">
        <v>156</v>
      </c>
      <c r="I92" s="24"/>
    </row>
    <row r="93" spans="1:9" ht="15.75" thickBot="1">
      <c r="A93" s="115" t="str">
        <f t="shared" si="1"/>
        <v>R12_CHN</v>
      </c>
      <c r="B93" s="2" t="s">
        <v>64</v>
      </c>
      <c r="C93" s="2" t="s">
        <v>35</v>
      </c>
      <c r="D93" t="s">
        <v>549</v>
      </c>
      <c r="E93" s="2" t="s">
        <v>36</v>
      </c>
      <c r="F93" s="121">
        <v>30</v>
      </c>
      <c r="G93" s="114">
        <v>2020</v>
      </c>
      <c r="H93"/>
      <c r="I93" s="24"/>
    </row>
    <row r="94" spans="1:9" ht="15.75" thickBot="1">
      <c r="A94" s="115" t="str">
        <f t="shared" si="1"/>
        <v>R12_CHN</v>
      </c>
      <c r="B94" s="2" t="s">
        <v>64</v>
      </c>
      <c r="C94" s="2" t="s">
        <v>37</v>
      </c>
      <c r="D94" t="s">
        <v>549</v>
      </c>
      <c r="E94" s="2" t="s">
        <v>38</v>
      </c>
      <c r="F94" s="5">
        <v>0.8</v>
      </c>
      <c r="G94" s="114">
        <v>2020</v>
      </c>
      <c r="H94"/>
      <c r="I94" s="24"/>
    </row>
    <row r="95" spans="1:9" ht="15.75" thickBot="1">
      <c r="A95" s="115" t="str">
        <f t="shared" si="1"/>
        <v>R12_CHN</v>
      </c>
      <c r="B95" s="2" t="s">
        <v>67</v>
      </c>
      <c r="C95" s="2" t="s">
        <v>35</v>
      </c>
      <c r="D95" t="s">
        <v>549</v>
      </c>
      <c r="E95" s="2" t="s">
        <v>36</v>
      </c>
      <c r="F95" s="121">
        <v>30</v>
      </c>
      <c r="G95" s="114">
        <v>2020</v>
      </c>
      <c r="H95"/>
      <c r="I95" s="24"/>
    </row>
    <row r="96" spans="1:9" ht="15.75" thickBot="1">
      <c r="A96" s="115" t="str">
        <f t="shared" si="1"/>
        <v>R12_CHN</v>
      </c>
      <c r="B96" s="2" t="s">
        <v>67</v>
      </c>
      <c r="C96" s="2" t="s">
        <v>37</v>
      </c>
      <c r="D96" t="s">
        <v>549</v>
      </c>
      <c r="E96" s="2" t="s">
        <v>38</v>
      </c>
      <c r="F96" s="5">
        <v>0.8</v>
      </c>
      <c r="G96" s="114">
        <v>2020</v>
      </c>
      <c r="H96"/>
      <c r="I96" s="24"/>
    </row>
    <row r="97" spans="1:9" ht="15.75" thickBot="1">
      <c r="A97" s="115" t="str">
        <f t="shared" si="1"/>
        <v>R12_CHN</v>
      </c>
      <c r="B97" s="2" t="s">
        <v>68</v>
      </c>
      <c r="C97" s="2" t="s">
        <v>35</v>
      </c>
      <c r="D97" t="s">
        <v>549</v>
      </c>
      <c r="E97" s="2" t="s">
        <v>36</v>
      </c>
      <c r="F97" s="121">
        <v>30</v>
      </c>
      <c r="G97" s="114">
        <v>2020</v>
      </c>
      <c r="H97"/>
      <c r="I97" s="24"/>
    </row>
    <row r="98" spans="1:9" ht="15.75" thickBot="1">
      <c r="A98" s="115" t="str">
        <f t="shared" si="1"/>
        <v>R12_CHN</v>
      </c>
      <c r="B98" s="19" t="s">
        <v>68</v>
      </c>
      <c r="C98" s="19" t="s">
        <v>37</v>
      </c>
      <c r="D98" t="s">
        <v>549</v>
      </c>
      <c r="E98" s="19" t="s">
        <v>38</v>
      </c>
      <c r="F98" s="27">
        <v>0.8</v>
      </c>
      <c r="G98" s="114">
        <v>2020</v>
      </c>
      <c r="H98"/>
      <c r="I98" s="24"/>
    </row>
    <row r="99" spans="1:9" ht="15.75" thickBot="1">
      <c r="A99" s="115" t="str">
        <f>A98</f>
        <v>R12_CHN</v>
      </c>
      <c r="B99" s="2" t="s">
        <v>157</v>
      </c>
      <c r="C99" s="2" t="s">
        <v>158</v>
      </c>
      <c r="D99" t="s">
        <v>549</v>
      </c>
      <c r="E99" s="2" t="s">
        <v>29</v>
      </c>
      <c r="F99" s="5">
        <v>1</v>
      </c>
      <c r="G99" s="114">
        <v>2020</v>
      </c>
      <c r="H99"/>
      <c r="I99" s="24"/>
    </row>
    <row r="100" spans="1:9" ht="15.75" thickBot="1">
      <c r="A100" s="115" t="str">
        <f t="shared" si="1"/>
        <v>R12_CHN</v>
      </c>
      <c r="B100" s="19" t="s">
        <v>159</v>
      </c>
      <c r="C100" s="19" t="s">
        <v>160</v>
      </c>
      <c r="D100" t="s">
        <v>549</v>
      </c>
      <c r="E100" s="19" t="s">
        <v>29</v>
      </c>
      <c r="F100" s="27">
        <v>1</v>
      </c>
      <c r="G100" s="114">
        <v>2020</v>
      </c>
      <c r="H100"/>
      <c r="I100" s="24"/>
    </row>
    <row r="101" spans="1:9" ht="15.75" thickBot="1">
      <c r="A101" s="115" t="str">
        <f t="shared" si="1"/>
        <v>R12_CHN</v>
      </c>
      <c r="B101" s="2" t="s">
        <v>71</v>
      </c>
      <c r="C101" s="2" t="s">
        <v>529</v>
      </c>
      <c r="D101" t="s">
        <v>549</v>
      </c>
      <c r="E101" s="2" t="s">
        <v>16</v>
      </c>
      <c r="F101" s="5">
        <v>4.5</v>
      </c>
      <c r="G101" s="114">
        <v>2020</v>
      </c>
      <c r="H101"/>
      <c r="I101" s="24"/>
    </row>
    <row r="102" spans="1:9" ht="15.75" thickBot="1">
      <c r="A102" s="115" t="str">
        <f t="shared" si="1"/>
        <v>R12_CHN</v>
      </c>
      <c r="B102" s="2" t="s">
        <v>71</v>
      </c>
      <c r="C102" s="2" t="s">
        <v>118</v>
      </c>
      <c r="D102" t="s">
        <v>549</v>
      </c>
      <c r="E102" s="2" t="s">
        <v>16</v>
      </c>
      <c r="F102" s="5">
        <v>0.02</v>
      </c>
      <c r="G102" s="114">
        <v>2020</v>
      </c>
      <c r="H102" s="4"/>
      <c r="I102" s="24"/>
    </row>
    <row r="103" spans="1:9" ht="15.75" thickBot="1">
      <c r="A103" s="115" t="str">
        <f t="shared" si="1"/>
        <v>R12_CHN</v>
      </c>
      <c r="B103" s="2" t="s">
        <v>71</v>
      </c>
      <c r="C103" s="2" t="s">
        <v>228</v>
      </c>
      <c r="D103" t="s">
        <v>549</v>
      </c>
      <c r="E103" s="2" t="s">
        <v>23</v>
      </c>
      <c r="F103" s="15">
        <f>4500*0.278/8760</f>
        <v>0.1428082191780822</v>
      </c>
      <c r="G103" s="114">
        <v>2020</v>
      </c>
      <c r="H103"/>
      <c r="I103" s="24"/>
    </row>
    <row r="104" spans="1:9" ht="15.75" thickBot="1">
      <c r="A104" s="115" t="str">
        <f t="shared" si="1"/>
        <v>R12_CHN</v>
      </c>
      <c r="B104" s="2" t="s">
        <v>71</v>
      </c>
      <c r="C104" s="2" t="s">
        <v>119</v>
      </c>
      <c r="D104" t="s">
        <v>549</v>
      </c>
      <c r="E104" s="2" t="s">
        <v>16</v>
      </c>
      <c r="F104" s="5">
        <v>3</v>
      </c>
      <c r="G104" s="114">
        <v>2020</v>
      </c>
      <c r="H104"/>
      <c r="I104" s="24"/>
    </row>
    <row r="105" spans="1:9" ht="15.75" thickBot="1">
      <c r="A105" s="115" t="str">
        <f t="shared" si="1"/>
        <v>R12_CHN</v>
      </c>
      <c r="B105" s="19" t="s">
        <v>71</v>
      </c>
      <c r="C105" s="19" t="s">
        <v>161</v>
      </c>
      <c r="D105" t="s">
        <v>549</v>
      </c>
      <c r="E105" s="19" t="s">
        <v>29</v>
      </c>
      <c r="F105" s="27">
        <v>1</v>
      </c>
      <c r="G105" s="114">
        <v>2020</v>
      </c>
      <c r="H105" s="4"/>
      <c r="I105" s="24"/>
    </row>
    <row r="106" spans="1:9" ht="15.75" thickBot="1">
      <c r="A106" s="115" t="str">
        <f t="shared" si="1"/>
        <v>R12_CHN</v>
      </c>
      <c r="B106" s="2" t="s">
        <v>72</v>
      </c>
      <c r="C106" s="2" t="s">
        <v>162</v>
      </c>
      <c r="D106" t="s">
        <v>549</v>
      </c>
      <c r="E106" s="2" t="s">
        <v>16</v>
      </c>
      <c r="F106" s="5">
        <v>6.42</v>
      </c>
      <c r="G106" s="114">
        <v>2020</v>
      </c>
      <c r="H106" s="4"/>
      <c r="I106" s="24"/>
    </row>
    <row r="107" spans="1:9" ht="15.75" thickBot="1">
      <c r="A107" s="115" t="str">
        <f t="shared" si="1"/>
        <v>R12_CHN</v>
      </c>
      <c r="B107" s="2" t="s">
        <v>72</v>
      </c>
      <c r="C107" s="2" t="s">
        <v>118</v>
      </c>
      <c r="D107" t="s">
        <v>549</v>
      </c>
      <c r="E107" s="2" t="s">
        <v>16</v>
      </c>
      <c r="F107" s="5">
        <v>3.33</v>
      </c>
      <c r="G107" s="114">
        <v>2020</v>
      </c>
      <c r="H107" s="4" t="s">
        <v>163</v>
      </c>
      <c r="I107" s="24"/>
    </row>
    <row r="108" spans="1:9" ht="15.75" thickBot="1">
      <c r="A108" s="115" t="str">
        <f t="shared" si="1"/>
        <v>R12_CHN</v>
      </c>
      <c r="B108" s="2" t="s">
        <v>72</v>
      </c>
      <c r="C108" s="2" t="s">
        <v>227</v>
      </c>
      <c r="D108" t="s">
        <v>549</v>
      </c>
      <c r="E108" s="2" t="s">
        <v>23</v>
      </c>
      <c r="F108" s="118">
        <v>6.7286529680365289E-5</v>
      </c>
      <c r="G108" s="114">
        <v>2020</v>
      </c>
      <c r="H108" s="4"/>
      <c r="I108" s="24"/>
    </row>
    <row r="109" spans="1:9" ht="15.75" customHeight="1" thickBot="1">
      <c r="A109" s="115" t="str">
        <f t="shared" si="1"/>
        <v>R12_CHN</v>
      </c>
      <c r="B109" s="2" t="s">
        <v>72</v>
      </c>
      <c r="C109" s="2" t="s">
        <v>119</v>
      </c>
      <c r="D109" t="s">
        <v>549</v>
      </c>
      <c r="E109" s="2" t="s">
        <v>16</v>
      </c>
      <c r="F109" s="5">
        <v>11.24</v>
      </c>
      <c r="G109" s="114">
        <v>2020</v>
      </c>
      <c r="H109" s="4"/>
      <c r="I109" s="24"/>
    </row>
    <row r="110" spans="1:9" ht="15.75" customHeight="1" thickBot="1">
      <c r="A110" s="115" t="str">
        <f t="shared" si="1"/>
        <v>R12_CHN</v>
      </c>
      <c r="B110" s="2" t="s">
        <v>72</v>
      </c>
      <c r="C110" s="2" t="s">
        <v>153</v>
      </c>
      <c r="D110" t="s">
        <v>549</v>
      </c>
      <c r="E110" s="2" t="s">
        <v>29</v>
      </c>
      <c r="F110" s="5">
        <v>1</v>
      </c>
      <c r="G110" s="114">
        <v>2020</v>
      </c>
      <c r="H110" s="4"/>
      <c r="I110" s="24"/>
    </row>
    <row r="111" spans="1:9" ht="15.75" customHeight="1" thickBot="1">
      <c r="A111" s="115" t="str">
        <f t="shared" si="1"/>
        <v>R12_CHN</v>
      </c>
      <c r="B111" s="19" t="s">
        <v>72</v>
      </c>
      <c r="C111" s="19" t="s">
        <v>164</v>
      </c>
      <c r="D111" t="s">
        <v>549</v>
      </c>
      <c r="E111" s="19" t="s">
        <v>29</v>
      </c>
      <c r="F111" s="27">
        <v>1</v>
      </c>
      <c r="G111" s="114">
        <v>2020</v>
      </c>
      <c r="H111" s="4"/>
      <c r="I111" s="24"/>
    </row>
    <row r="112" spans="1:9" ht="15.75" customHeight="1" thickBot="1">
      <c r="A112" s="115" t="str">
        <f t="shared" si="1"/>
        <v>R12_CHN</v>
      </c>
      <c r="B112" s="2" t="s">
        <v>71</v>
      </c>
      <c r="C112" s="2" t="s">
        <v>39</v>
      </c>
      <c r="D112" t="s">
        <v>549</v>
      </c>
      <c r="E112" s="2" t="s">
        <v>40</v>
      </c>
      <c r="F112" s="120">
        <v>1347</v>
      </c>
      <c r="G112" s="114">
        <v>2020</v>
      </c>
      <c r="H112" s="38" t="s">
        <v>165</v>
      </c>
      <c r="I112" s="24"/>
    </row>
    <row r="113" spans="1:9" ht="15.75" customHeight="1" thickBot="1">
      <c r="A113" s="115" t="str">
        <f t="shared" si="1"/>
        <v>R12_CHN</v>
      </c>
      <c r="B113" s="2" t="s">
        <v>71</v>
      </c>
      <c r="C113" s="2" t="s">
        <v>41</v>
      </c>
      <c r="D113" t="s">
        <v>549</v>
      </c>
      <c r="E113" s="2" t="s">
        <v>40</v>
      </c>
      <c r="F113" s="120">
        <v>784</v>
      </c>
      <c r="G113" s="114">
        <v>2020</v>
      </c>
      <c r="H113" s="38" t="s">
        <v>165</v>
      </c>
      <c r="I113" s="24"/>
    </row>
    <row r="114" spans="1:9" ht="15.75" customHeight="1" thickBot="1">
      <c r="A114" s="115" t="str">
        <f t="shared" si="1"/>
        <v>R12_CHN</v>
      </c>
      <c r="B114" s="2" t="s">
        <v>71</v>
      </c>
      <c r="C114" s="2" t="s">
        <v>42</v>
      </c>
      <c r="D114" t="s">
        <v>549</v>
      </c>
      <c r="E114" s="2" t="s">
        <v>40</v>
      </c>
      <c r="F114" s="120">
        <v>150</v>
      </c>
      <c r="G114" s="114">
        <v>2020</v>
      </c>
      <c r="H114" s="38" t="s">
        <v>155</v>
      </c>
      <c r="I114" s="24"/>
    </row>
    <row r="115" spans="1:9" ht="15.75" customHeight="1" thickBot="1">
      <c r="A115" s="115" t="str">
        <f t="shared" si="1"/>
        <v>R12_CHN</v>
      </c>
      <c r="B115" s="2" t="s">
        <v>72</v>
      </c>
      <c r="C115" s="2" t="s">
        <v>39</v>
      </c>
      <c r="D115" t="s">
        <v>549</v>
      </c>
      <c r="E115" s="2" t="s">
        <v>40</v>
      </c>
      <c r="F115" s="3">
        <f>334+103+267</f>
        <v>704</v>
      </c>
      <c r="G115" s="114">
        <v>2020</v>
      </c>
      <c r="H115" s="38" t="s">
        <v>166</v>
      </c>
      <c r="I115" s="24"/>
    </row>
    <row r="116" spans="1:9" ht="15.75" customHeight="1" thickBot="1">
      <c r="A116" s="115" t="str">
        <f t="shared" si="1"/>
        <v>R12_CHN</v>
      </c>
      <c r="B116" s="2" t="s">
        <v>72</v>
      </c>
      <c r="C116" s="2" t="s">
        <v>41</v>
      </c>
      <c r="D116" t="s">
        <v>549</v>
      </c>
      <c r="E116" s="2" t="s">
        <v>40</v>
      </c>
      <c r="F116" s="119">
        <f>1099+107+70+10+191</f>
        <v>1477</v>
      </c>
      <c r="G116" s="114">
        <v>2020</v>
      </c>
      <c r="H116" s="38" t="s">
        <v>166</v>
      </c>
      <c r="I116" s="24"/>
    </row>
    <row r="117" spans="1:9" ht="15.75" thickBot="1">
      <c r="A117" s="115" t="str">
        <f t="shared" si="1"/>
        <v>R12_CHN</v>
      </c>
      <c r="B117" s="19" t="s">
        <v>72</v>
      </c>
      <c r="C117" s="19" t="s">
        <v>42</v>
      </c>
      <c r="D117" t="s">
        <v>549</v>
      </c>
      <c r="E117" s="2" t="s">
        <v>40</v>
      </c>
      <c r="F117" s="119">
        <v>635</v>
      </c>
      <c r="G117" s="114">
        <v>2020</v>
      </c>
      <c r="H117" s="38" t="s">
        <v>166</v>
      </c>
      <c r="I117" s="24"/>
    </row>
    <row r="118" spans="1:9" ht="15.75" thickBot="1">
      <c r="A118" s="115" t="str">
        <f t="shared" si="1"/>
        <v>R12_CHN</v>
      </c>
      <c r="B118" s="2" t="s">
        <v>71</v>
      </c>
      <c r="C118" s="2" t="s">
        <v>35</v>
      </c>
      <c r="D118" t="s">
        <v>549</v>
      </c>
      <c r="E118" s="2" t="s">
        <v>36</v>
      </c>
      <c r="F118" s="121">
        <v>20</v>
      </c>
      <c r="G118" s="114">
        <v>2020</v>
      </c>
      <c r="H118"/>
      <c r="I118" s="24"/>
    </row>
    <row r="119" spans="1:9" ht="15.75" thickBot="1">
      <c r="A119" s="115" t="str">
        <f t="shared" si="1"/>
        <v>R12_CHN</v>
      </c>
      <c r="B119" s="2" t="s">
        <v>71</v>
      </c>
      <c r="C119" s="2" t="s">
        <v>37</v>
      </c>
      <c r="D119" t="s">
        <v>549</v>
      </c>
      <c r="E119" s="2" t="s">
        <v>38</v>
      </c>
      <c r="F119" s="11">
        <v>0.8</v>
      </c>
      <c r="G119" s="114">
        <v>2020</v>
      </c>
      <c r="H119" s="4"/>
      <c r="I119" s="24"/>
    </row>
    <row r="120" spans="1:9" ht="15.75" thickBot="1">
      <c r="A120" s="115" t="str">
        <f t="shared" si="1"/>
        <v>R12_CHN</v>
      </c>
      <c r="B120" s="2" t="s">
        <v>72</v>
      </c>
      <c r="C120" s="2" t="s">
        <v>35</v>
      </c>
      <c r="D120" t="s">
        <v>549</v>
      </c>
      <c r="E120" s="2" t="s">
        <v>36</v>
      </c>
      <c r="F120" s="121">
        <v>20</v>
      </c>
      <c r="G120" s="114">
        <v>2020</v>
      </c>
      <c r="H120" s="4"/>
      <c r="I120" s="24"/>
    </row>
    <row r="121" spans="1:9" ht="15.75" thickBot="1">
      <c r="A121" s="115" t="str">
        <f t="shared" si="1"/>
        <v>R12_CHN</v>
      </c>
      <c r="B121" s="19" t="s">
        <v>72</v>
      </c>
      <c r="C121" s="19" t="s">
        <v>37</v>
      </c>
      <c r="D121" t="s">
        <v>549</v>
      </c>
      <c r="E121" s="2" t="s">
        <v>38</v>
      </c>
      <c r="F121" s="60">
        <v>0.8</v>
      </c>
      <c r="G121" s="114">
        <v>2020</v>
      </c>
      <c r="H121" s="4"/>
      <c r="I121" s="24"/>
    </row>
    <row r="122" spans="1:9" ht="15.75" thickBot="1">
      <c r="A122" s="115" t="str">
        <f>A121</f>
        <v>R12_CHN</v>
      </c>
      <c r="B122" s="2" t="s">
        <v>73</v>
      </c>
      <c r="C122" s="2" t="s">
        <v>530</v>
      </c>
      <c r="D122" t="s">
        <v>549</v>
      </c>
      <c r="E122" s="2" t="s">
        <v>16</v>
      </c>
      <c r="F122" s="5">
        <v>350</v>
      </c>
      <c r="G122" s="114">
        <v>2020</v>
      </c>
      <c r="H122" s="4" t="s">
        <v>283</v>
      </c>
      <c r="I122" s="24">
        <v>970.42857142857144</v>
      </c>
    </row>
    <row r="123" spans="1:9" ht="15.75" thickBot="1">
      <c r="A123" s="115" t="str">
        <f t="shared" si="1"/>
        <v>R12_CHN</v>
      </c>
      <c r="B123" s="2" t="s">
        <v>73</v>
      </c>
      <c r="C123" s="2" t="s">
        <v>118</v>
      </c>
      <c r="D123" t="s">
        <v>549</v>
      </c>
      <c r="E123" s="2" t="s">
        <v>16</v>
      </c>
      <c r="F123" s="5">
        <f>29.024/H129</f>
        <v>414.62857142857138</v>
      </c>
      <c r="G123" s="114">
        <v>2020</v>
      </c>
      <c r="H123" s="4"/>
      <c r="I123" s="24"/>
    </row>
    <row r="124" spans="1:9" ht="15.75" thickBot="1">
      <c r="A124" s="115" t="str">
        <f t="shared" si="1"/>
        <v>R12_CHN</v>
      </c>
      <c r="B124" s="2" t="s">
        <v>73</v>
      </c>
      <c r="C124" s="2" t="s">
        <v>119</v>
      </c>
      <c r="D124" t="s">
        <v>549</v>
      </c>
      <c r="E124" s="2" t="s">
        <v>16</v>
      </c>
      <c r="F124" s="5">
        <f>1391/H129</f>
        <v>19871.428571428569</v>
      </c>
      <c r="G124" s="114">
        <v>2020</v>
      </c>
      <c r="H124" s="4"/>
      <c r="I124" s="24"/>
    </row>
    <row r="125" spans="1:9" ht="15.75" thickBot="1">
      <c r="A125" s="115" t="str">
        <f t="shared" si="1"/>
        <v>R12_CHN</v>
      </c>
      <c r="B125" s="2" t="s">
        <v>73</v>
      </c>
      <c r="C125" s="2" t="s">
        <v>227</v>
      </c>
      <c r="D125" t="s">
        <v>549</v>
      </c>
      <c r="E125" s="2" t="s">
        <v>23</v>
      </c>
      <c r="F125" s="15">
        <f>(36000*0.278/8760)/H129</f>
        <v>16.320939334637963</v>
      </c>
      <c r="G125" s="114">
        <v>2020</v>
      </c>
      <c r="H125" s="4"/>
      <c r="I125" s="24"/>
    </row>
    <row r="126" spans="1:9" ht="15.75" thickBot="1">
      <c r="A126" s="115" t="str">
        <f t="shared" si="1"/>
        <v>R12_CHN</v>
      </c>
      <c r="B126" s="2" t="s">
        <v>73</v>
      </c>
      <c r="C126" s="2" t="s">
        <v>228</v>
      </c>
      <c r="D126" t="s">
        <v>549</v>
      </c>
      <c r="E126" s="2" t="s">
        <v>23</v>
      </c>
      <c r="F126" s="15">
        <f>(7543*0.278/8760)/H129</f>
        <v>3.4196901500326158</v>
      </c>
      <c r="G126" s="114">
        <v>2020</v>
      </c>
      <c r="H126"/>
      <c r="I126" s="24"/>
    </row>
    <row r="127" spans="1:9" ht="15" customHeight="1" thickBot="1">
      <c r="A127" s="115" t="str">
        <f t="shared" si="1"/>
        <v>R12_CHN</v>
      </c>
      <c r="B127" s="2" t="s">
        <v>73</v>
      </c>
      <c r="C127" s="2" t="s">
        <v>231</v>
      </c>
      <c r="D127" t="s">
        <v>549</v>
      </c>
      <c r="E127" s="2" t="s">
        <v>23</v>
      </c>
      <c r="F127" s="15">
        <f>(29610*0.278/8760)/H129</f>
        <v>13.423972602739726</v>
      </c>
      <c r="G127" s="114">
        <v>2020</v>
      </c>
      <c r="H127" s="59"/>
      <c r="I127" s="44"/>
    </row>
    <row r="128" spans="1:9" ht="15.75" thickBot="1">
      <c r="A128" s="115" t="str">
        <f t="shared" si="1"/>
        <v>R12_CHN</v>
      </c>
      <c r="B128" s="2" t="s">
        <v>73</v>
      </c>
      <c r="C128" s="2" t="s">
        <v>167</v>
      </c>
      <c r="D128" t="s">
        <v>549</v>
      </c>
      <c r="E128" s="2" t="s">
        <v>29</v>
      </c>
      <c r="F128" s="5">
        <v>14.286</v>
      </c>
      <c r="G128" s="114">
        <v>2020</v>
      </c>
      <c r="H128" s="5">
        <v>14.285714285714285</v>
      </c>
      <c r="I128" s="24"/>
    </row>
    <row r="129" spans="1:9" ht="15.75" thickBot="1">
      <c r="A129" s="160" t="str">
        <f t="shared" si="1"/>
        <v>R12_CHN</v>
      </c>
      <c r="B129" s="19" t="s">
        <v>73</v>
      </c>
      <c r="C129" s="19" t="s">
        <v>168</v>
      </c>
      <c r="D129" t="s">
        <v>549</v>
      </c>
      <c r="E129" s="19" t="s">
        <v>29</v>
      </c>
      <c r="F129" s="27">
        <v>1</v>
      </c>
      <c r="G129" s="114">
        <v>2020</v>
      </c>
      <c r="H129" s="27">
        <v>7.0000000000000007E-2</v>
      </c>
      <c r="I129" s="29" t="s">
        <v>515</v>
      </c>
    </row>
    <row r="130" spans="1:9" ht="15.75" thickBot="1">
      <c r="A130" s="159" t="str">
        <f>A129</f>
        <v>R12_CHN</v>
      </c>
      <c r="B130" s="2" t="s">
        <v>75</v>
      </c>
      <c r="C130" s="2" t="s">
        <v>169</v>
      </c>
      <c r="D130" t="s">
        <v>549</v>
      </c>
      <c r="E130" s="2" t="s">
        <v>16</v>
      </c>
      <c r="F130" s="5">
        <v>0.37925999999999999</v>
      </c>
      <c r="G130" s="114">
        <v>2020</v>
      </c>
      <c r="H130" s="4"/>
      <c r="I130" s="24"/>
    </row>
    <row r="131" spans="1:9" ht="15.75" thickBot="1">
      <c r="A131" s="115" t="str">
        <f t="shared" ref="A131:A190" si="2">A130</f>
        <v>R12_CHN</v>
      </c>
      <c r="B131" s="2" t="s">
        <v>75</v>
      </c>
      <c r="C131" s="2" t="s">
        <v>118</v>
      </c>
      <c r="D131" t="s">
        <v>549</v>
      </c>
      <c r="E131" s="2" t="s">
        <v>16</v>
      </c>
      <c r="F131" s="5">
        <v>0.63375999999999999</v>
      </c>
      <c r="G131" s="114">
        <v>2020</v>
      </c>
      <c r="H131" s="4"/>
      <c r="I131" s="24"/>
    </row>
    <row r="132" spans="1:9" ht="15.75" thickBot="1">
      <c r="A132" s="115" t="str">
        <f t="shared" si="2"/>
        <v>R12_CHN</v>
      </c>
      <c r="B132" s="2" t="s">
        <v>75</v>
      </c>
      <c r="C132" s="2" t="s">
        <v>170</v>
      </c>
      <c r="D132" t="s">
        <v>549</v>
      </c>
      <c r="E132" s="19" t="s">
        <v>29</v>
      </c>
      <c r="F132" s="5">
        <v>1.2999999999999999E-2</v>
      </c>
      <c r="G132" s="114">
        <v>2020</v>
      </c>
      <c r="H132"/>
      <c r="I132" s="24"/>
    </row>
    <row r="133" spans="1:9" ht="15.75" thickBot="1">
      <c r="A133" s="115" t="str">
        <f t="shared" si="2"/>
        <v>R12_CHN</v>
      </c>
      <c r="B133" s="19" t="s">
        <v>75</v>
      </c>
      <c r="C133" s="19" t="s">
        <v>171</v>
      </c>
      <c r="D133" t="s">
        <v>549</v>
      </c>
      <c r="E133" s="19" t="s">
        <v>29</v>
      </c>
      <c r="F133" s="27">
        <v>1</v>
      </c>
      <c r="G133" s="114">
        <v>2020</v>
      </c>
      <c r="H133" s="4"/>
      <c r="I133" s="24"/>
    </row>
    <row r="134" spans="1:9" ht="15.75" thickBot="1">
      <c r="A134" s="115" t="str">
        <f t="shared" si="2"/>
        <v>R12_CHN</v>
      </c>
      <c r="B134" s="2" t="s">
        <v>79</v>
      </c>
      <c r="C134" s="2" t="s">
        <v>531</v>
      </c>
      <c r="D134" t="s">
        <v>549</v>
      </c>
      <c r="E134" s="2" t="s">
        <v>16</v>
      </c>
      <c r="F134" s="5">
        <v>9.93</v>
      </c>
      <c r="G134" s="114">
        <v>2020</v>
      </c>
      <c r="H134" s="4" t="s">
        <v>514</v>
      </c>
      <c r="I134" s="24"/>
    </row>
    <row r="135" spans="1:9" ht="15.75" thickBot="1">
      <c r="A135" s="115" t="str">
        <f t="shared" si="2"/>
        <v>R12_CHN</v>
      </c>
      <c r="B135" s="2" t="s">
        <v>79</v>
      </c>
      <c r="C135" s="2" t="s">
        <v>119</v>
      </c>
      <c r="D135" t="s">
        <v>549</v>
      </c>
      <c r="E135" s="2" t="s">
        <v>16</v>
      </c>
      <c r="F135" s="5">
        <v>171.48</v>
      </c>
      <c r="G135" s="114">
        <v>2020</v>
      </c>
      <c r="H135" s="4"/>
      <c r="I135" s="24"/>
    </row>
    <row r="136" spans="1:9" ht="15.75" thickBot="1">
      <c r="A136" s="115" t="str">
        <f t="shared" si="2"/>
        <v>R12_CHN</v>
      </c>
      <c r="B136" s="2" t="s">
        <v>79</v>
      </c>
      <c r="C136" s="2" t="s">
        <v>228</v>
      </c>
      <c r="D136" t="s">
        <v>549</v>
      </c>
      <c r="E136" s="2" t="s">
        <v>16</v>
      </c>
      <c r="F136" s="5">
        <f>586.8*0.278/8760</f>
        <v>1.8622191780821917E-2</v>
      </c>
      <c r="G136" s="114">
        <v>2020</v>
      </c>
      <c r="H136" s="4"/>
      <c r="I136" s="24"/>
    </row>
    <row r="137" spans="1:9" ht="15.75" thickBot="1">
      <c r="A137" s="115" t="str">
        <f t="shared" si="2"/>
        <v>R12_CHN</v>
      </c>
      <c r="B137" s="19" t="s">
        <v>79</v>
      </c>
      <c r="C137" s="19" t="s">
        <v>172</v>
      </c>
      <c r="D137" t="s">
        <v>549</v>
      </c>
      <c r="E137" s="19" t="s">
        <v>29</v>
      </c>
      <c r="F137" s="27">
        <v>1</v>
      </c>
      <c r="G137" s="114">
        <v>2020</v>
      </c>
      <c r="H137" s="4"/>
      <c r="I137" s="24"/>
    </row>
    <row r="138" spans="1:9" ht="15.75" thickBot="1">
      <c r="A138" s="115" t="str">
        <f t="shared" si="2"/>
        <v>R12_CHN</v>
      </c>
      <c r="B138" s="2" t="s">
        <v>80</v>
      </c>
      <c r="C138" s="2" t="s">
        <v>173</v>
      </c>
      <c r="D138" t="s">
        <v>549</v>
      </c>
      <c r="E138" s="2" t="s">
        <v>16</v>
      </c>
      <c r="F138" s="5">
        <v>35.28</v>
      </c>
      <c r="G138" s="114">
        <v>2020</v>
      </c>
      <c r="H138" s="4" t="s">
        <v>514</v>
      </c>
      <c r="I138" s="24"/>
    </row>
    <row r="139" spans="1:9" ht="15.75" thickBot="1">
      <c r="A139" s="115" t="str">
        <f t="shared" si="2"/>
        <v>R12_CHN</v>
      </c>
      <c r="B139" s="2" t="s">
        <v>80</v>
      </c>
      <c r="C139" s="2" t="s">
        <v>118</v>
      </c>
      <c r="D139" t="s">
        <v>549</v>
      </c>
      <c r="E139" s="2" t="s">
        <v>16</v>
      </c>
      <c r="F139" s="5">
        <f>0.1/H142</f>
        <v>34.06666666666667</v>
      </c>
      <c r="G139" s="114">
        <v>2020</v>
      </c>
      <c r="H139" s="4" t="s">
        <v>514</v>
      </c>
      <c r="I139" s="24"/>
    </row>
    <row r="140" spans="1:9" ht="15.75" thickBot="1">
      <c r="A140" s="115" t="str">
        <f t="shared" si="2"/>
        <v>R12_CHN</v>
      </c>
      <c r="B140" s="2" t="s">
        <v>80</v>
      </c>
      <c r="C140" s="2" t="s">
        <v>119</v>
      </c>
      <c r="D140" t="s">
        <v>549</v>
      </c>
      <c r="E140" s="2" t="s">
        <v>16</v>
      </c>
      <c r="F140" s="5">
        <f>(1542.86)/H142</f>
        <v>525600.97333333339</v>
      </c>
      <c r="G140" s="114">
        <v>2020</v>
      </c>
      <c r="H140" s="4"/>
      <c r="I140" s="24"/>
    </row>
    <row r="141" spans="1:9" ht="15.75" thickBot="1">
      <c r="A141" s="115" t="str">
        <f t="shared" si="2"/>
        <v>R12_CHN</v>
      </c>
      <c r="B141" s="2" t="s">
        <v>80</v>
      </c>
      <c r="C141" s="2" t="s">
        <v>227</v>
      </c>
      <c r="D141" t="s">
        <v>549</v>
      </c>
      <c r="E141" s="2" t="s">
        <v>23</v>
      </c>
      <c r="F141" s="4">
        <f>Table33523[[#This Row],[Comment]]</f>
        <v>3.4648530000000006</v>
      </c>
      <c r="G141" s="114">
        <v>2020</v>
      </c>
      <c r="H141" s="4">
        <f>(320.49*0.278/8760)/H142</f>
        <v>3.4648530000000006</v>
      </c>
      <c r="I141" s="24"/>
    </row>
    <row r="142" spans="1:9" ht="15.75" thickBot="1">
      <c r="A142" s="115" t="str">
        <f t="shared" si="2"/>
        <v>R12_CHN</v>
      </c>
      <c r="B142" s="2" t="s">
        <v>80</v>
      </c>
      <c r="C142" s="2" t="s">
        <v>168</v>
      </c>
      <c r="D142" t="s">
        <v>549</v>
      </c>
      <c r="E142" s="19" t="s">
        <v>29</v>
      </c>
      <c r="F142" s="118">
        <v>1</v>
      </c>
      <c r="G142" s="114">
        <v>2020</v>
      </c>
      <c r="H142" s="56">
        <v>2.9354207436399216E-3</v>
      </c>
      <c r="I142" s="24"/>
    </row>
    <row r="143" spans="1:9" ht="15.75" thickBot="1">
      <c r="A143" s="115" t="str">
        <f t="shared" si="2"/>
        <v>R12_CHN</v>
      </c>
      <c r="B143" s="19" t="s">
        <v>80</v>
      </c>
      <c r="C143" s="19" t="s">
        <v>174</v>
      </c>
      <c r="D143" t="s">
        <v>549</v>
      </c>
      <c r="E143" s="19" t="s">
        <v>29</v>
      </c>
      <c r="F143" s="66">
        <f>0.038160469667319/H142</f>
        <v>13.000000000000007</v>
      </c>
      <c r="G143" s="114">
        <v>2020</v>
      </c>
      <c r="H143" s="68">
        <v>3.816046966731898E-2</v>
      </c>
      <c r="I143" s="24"/>
    </row>
    <row r="144" spans="1:9" ht="15.75" thickBot="1">
      <c r="A144" s="115" t="str">
        <f t="shared" si="2"/>
        <v>R12_CHN</v>
      </c>
      <c r="B144" s="2" t="s">
        <v>81</v>
      </c>
      <c r="C144" s="2" t="s">
        <v>118</v>
      </c>
      <c r="D144" t="s">
        <v>549</v>
      </c>
      <c r="E144" s="2" t="s">
        <v>16</v>
      </c>
      <c r="F144" s="5">
        <v>44.05</v>
      </c>
      <c r="G144" s="114">
        <v>2020</v>
      </c>
      <c r="H144" s="4"/>
      <c r="I144" s="24"/>
    </row>
    <row r="145" spans="1:9" ht="15.75" thickBot="1">
      <c r="A145" s="115" t="str">
        <f t="shared" si="2"/>
        <v>R12_CHN</v>
      </c>
      <c r="B145" s="2" t="s">
        <v>81</v>
      </c>
      <c r="C145" s="2" t="s">
        <v>175</v>
      </c>
      <c r="D145" t="s">
        <v>549</v>
      </c>
      <c r="E145" s="2" t="s">
        <v>16</v>
      </c>
      <c r="F145" s="5">
        <v>7.52</v>
      </c>
      <c r="G145" s="114">
        <v>2020</v>
      </c>
      <c r="H145" s="4"/>
      <c r="I145" s="24"/>
    </row>
    <row r="146" spans="1:9" ht="15.75" thickBot="1">
      <c r="A146" s="115" t="str">
        <f t="shared" si="2"/>
        <v>R12_CHN</v>
      </c>
      <c r="B146" s="2" t="s">
        <v>81</v>
      </c>
      <c r="C146" s="2" t="s">
        <v>119</v>
      </c>
      <c r="D146" t="s">
        <v>549</v>
      </c>
      <c r="E146" s="2" t="s">
        <v>16</v>
      </c>
      <c r="F146" s="121">
        <v>130339</v>
      </c>
      <c r="G146" s="114">
        <v>2020</v>
      </c>
      <c r="H146"/>
      <c r="I146" s="24"/>
    </row>
    <row r="147" spans="1:9" ht="15.75" thickBot="1">
      <c r="A147" s="115" t="str">
        <f t="shared" si="2"/>
        <v>R12_CHN</v>
      </c>
      <c r="B147" s="2" t="s">
        <v>81</v>
      </c>
      <c r="C147" s="2" t="s">
        <v>227</v>
      </c>
      <c r="D147" t="s">
        <v>549</v>
      </c>
      <c r="E147" s="2" t="s">
        <v>23</v>
      </c>
      <c r="F147" s="15">
        <f>28691*0.278/8760</f>
        <v>0.91051347031963481</v>
      </c>
      <c r="G147" s="114">
        <v>2020</v>
      </c>
      <c r="H147" s="4"/>
      <c r="I147" s="24"/>
    </row>
    <row r="148" spans="1:9" ht="15.75" thickBot="1">
      <c r="A148" s="115" t="str">
        <f t="shared" si="2"/>
        <v>R12_CHN</v>
      </c>
      <c r="B148" s="2" t="s">
        <v>81</v>
      </c>
      <c r="C148" s="2" t="s">
        <v>231</v>
      </c>
      <c r="D148" t="s">
        <v>549</v>
      </c>
      <c r="E148" s="2" t="s">
        <v>23</v>
      </c>
      <c r="F148" s="15">
        <f>8074*0.278/8760</f>
        <v>0.25622968036529681</v>
      </c>
      <c r="G148" s="114">
        <v>2020</v>
      </c>
      <c r="H148" s="4"/>
      <c r="I148" s="24"/>
    </row>
    <row r="149" spans="1:9" ht="15.75" thickBot="1">
      <c r="A149" s="115" t="str">
        <f t="shared" si="2"/>
        <v>R12_CHN</v>
      </c>
      <c r="B149" s="19" t="s">
        <v>81</v>
      </c>
      <c r="C149" s="19" t="s">
        <v>176</v>
      </c>
      <c r="D149" t="s">
        <v>549</v>
      </c>
      <c r="E149" s="19" t="s">
        <v>29</v>
      </c>
      <c r="F149" s="27">
        <v>1</v>
      </c>
      <c r="G149" s="114">
        <v>2020</v>
      </c>
      <c r="H149" s="23"/>
      <c r="I149" s="29"/>
    </row>
    <row r="150" spans="1:9" ht="15.75" thickBot="1">
      <c r="A150" s="115" t="str">
        <f t="shared" si="2"/>
        <v>R12_CHN</v>
      </c>
      <c r="B150" s="2" t="s">
        <v>86</v>
      </c>
      <c r="C150" s="2" t="s">
        <v>177</v>
      </c>
      <c r="D150" t="s">
        <v>549</v>
      </c>
      <c r="E150" s="2" t="s">
        <v>16</v>
      </c>
      <c r="F150" s="5">
        <v>1.39</v>
      </c>
      <c r="G150" s="114">
        <v>2020</v>
      </c>
      <c r="H150" s="4"/>
      <c r="I150" s="24"/>
    </row>
    <row r="151" spans="1:9" ht="15.75" thickBot="1">
      <c r="A151" s="115" t="str">
        <f t="shared" si="2"/>
        <v>R12_CHN</v>
      </c>
      <c r="B151" s="2" t="s">
        <v>86</v>
      </c>
      <c r="C151" s="2" t="s">
        <v>227</v>
      </c>
      <c r="D151" t="s">
        <v>549</v>
      </c>
      <c r="E151" s="2" t="s">
        <v>23</v>
      </c>
      <c r="F151" s="5">
        <f>6480*0.278/8760</f>
        <v>0.20564383561643837</v>
      </c>
      <c r="G151" s="114">
        <v>2020</v>
      </c>
      <c r="H151" s="5">
        <f>6480*0.278/8760</f>
        <v>0.20564383561643837</v>
      </c>
      <c r="I151" s="24"/>
    </row>
    <row r="152" spans="1:9" ht="15.75" thickBot="1">
      <c r="A152" s="115" t="str">
        <f t="shared" si="2"/>
        <v>R12_CHN</v>
      </c>
      <c r="B152" s="19" t="s">
        <v>86</v>
      </c>
      <c r="C152" s="19" t="s">
        <v>178</v>
      </c>
      <c r="D152" t="s">
        <v>549</v>
      </c>
      <c r="E152" s="19" t="s">
        <v>29</v>
      </c>
      <c r="F152" s="27">
        <v>1</v>
      </c>
      <c r="G152" s="114">
        <v>2020</v>
      </c>
      <c r="H152" s="4"/>
      <c r="I152" s="24"/>
    </row>
    <row r="153" spans="1:9" ht="15.75" thickBot="1">
      <c r="A153" s="115" t="str">
        <f t="shared" si="2"/>
        <v>R12_CHN</v>
      </c>
      <c r="B153" s="2" t="s">
        <v>73</v>
      </c>
      <c r="C153" s="2" t="s">
        <v>39</v>
      </c>
      <c r="D153" t="s">
        <v>549</v>
      </c>
      <c r="E153" s="2" t="s">
        <v>40</v>
      </c>
      <c r="F153" s="121">
        <v>400</v>
      </c>
      <c r="G153" s="114">
        <v>2020</v>
      </c>
      <c r="H153" s="4" t="s">
        <v>179</v>
      </c>
      <c r="I153" s="24"/>
    </row>
    <row r="154" spans="1:9" ht="15.75" thickBot="1">
      <c r="A154" s="115" t="str">
        <f t="shared" si="2"/>
        <v>R12_CHN</v>
      </c>
      <c r="B154" s="2" t="s">
        <v>73</v>
      </c>
      <c r="C154" s="2" t="s">
        <v>41</v>
      </c>
      <c r="D154" t="s">
        <v>549</v>
      </c>
      <c r="E154" s="2" t="s">
        <v>40</v>
      </c>
      <c r="F154" s="121">
        <v>600</v>
      </c>
      <c r="G154" s="114">
        <v>2020</v>
      </c>
      <c r="H154" s="4" t="s">
        <v>179</v>
      </c>
      <c r="I154" s="24"/>
    </row>
    <row r="155" spans="1:9" ht="15.75" thickBot="1">
      <c r="A155" s="115" t="str">
        <f t="shared" si="2"/>
        <v>R12_CHN</v>
      </c>
      <c r="B155" s="2" t="s">
        <v>73</v>
      </c>
      <c r="C155" s="2" t="s">
        <v>42</v>
      </c>
      <c r="D155" t="s">
        <v>549</v>
      </c>
      <c r="E155" s="2" t="s">
        <v>40</v>
      </c>
      <c r="F155" s="122">
        <v>200</v>
      </c>
      <c r="G155" s="114">
        <v>2020</v>
      </c>
      <c r="H155" s="4" t="s">
        <v>179</v>
      </c>
      <c r="I155" s="24"/>
    </row>
    <row r="156" spans="1:9" ht="15.75" thickBot="1">
      <c r="A156" s="115" t="str">
        <f t="shared" si="2"/>
        <v>R12_CHN</v>
      </c>
      <c r="B156" t="s">
        <v>75</v>
      </c>
      <c r="C156" s="2" t="s">
        <v>39</v>
      </c>
      <c r="D156" t="s">
        <v>549</v>
      </c>
      <c r="E156" s="2" t="s">
        <v>40</v>
      </c>
      <c r="F156" s="121">
        <v>643</v>
      </c>
      <c r="G156" s="114">
        <v>2020</v>
      </c>
      <c r="H156" t="s">
        <v>180</v>
      </c>
      <c r="I156" s="24"/>
    </row>
    <row r="157" spans="1:9" ht="15.75" thickBot="1">
      <c r="A157" s="115" t="str">
        <f t="shared" si="2"/>
        <v>R12_CHN</v>
      </c>
      <c r="B157" t="s">
        <v>75</v>
      </c>
      <c r="C157" s="2" t="s">
        <v>41</v>
      </c>
      <c r="D157" t="s">
        <v>549</v>
      </c>
      <c r="E157" s="2" t="s">
        <v>40</v>
      </c>
      <c r="F157" s="121">
        <v>599</v>
      </c>
      <c r="G157" s="114">
        <v>2020</v>
      </c>
      <c r="H157" t="s">
        <v>180</v>
      </c>
      <c r="I157" s="24"/>
    </row>
    <row r="158" spans="1:9" ht="15.75" thickBot="1">
      <c r="A158" s="115" t="str">
        <f t="shared" si="2"/>
        <v>R12_CHN</v>
      </c>
      <c r="B158" t="s">
        <v>75</v>
      </c>
      <c r="C158" s="19" t="s">
        <v>42</v>
      </c>
      <c r="D158" t="s">
        <v>549</v>
      </c>
      <c r="E158" s="2" t="s">
        <v>40</v>
      </c>
      <c r="F158" s="22">
        <v>653</v>
      </c>
      <c r="G158" s="114">
        <v>2020</v>
      </c>
      <c r="H158" t="s">
        <v>180</v>
      </c>
      <c r="I158" s="24"/>
    </row>
    <row r="159" spans="1:9" ht="15.75" thickBot="1">
      <c r="A159" s="115" t="str">
        <f t="shared" si="2"/>
        <v>R12_CHN</v>
      </c>
      <c r="B159" t="s">
        <v>79</v>
      </c>
      <c r="C159" s="2" t="s">
        <v>39</v>
      </c>
      <c r="D159" t="s">
        <v>549</v>
      </c>
      <c r="E159" s="2" t="s">
        <v>40</v>
      </c>
      <c r="F159" s="11">
        <v>16.399999999999999</v>
      </c>
      <c r="G159" s="114">
        <v>2020</v>
      </c>
      <c r="H159" s="11">
        <v>16.399999999999999</v>
      </c>
      <c r="I159" s="24"/>
    </row>
    <row r="160" spans="1:9" ht="15.75" thickBot="1">
      <c r="A160" s="115" t="str">
        <f t="shared" si="2"/>
        <v>R12_CHN</v>
      </c>
      <c r="B160" t="s">
        <v>79</v>
      </c>
      <c r="C160" s="2" t="s">
        <v>41</v>
      </c>
      <c r="D160" t="s">
        <v>549</v>
      </c>
      <c r="E160" s="2" t="s">
        <v>40</v>
      </c>
      <c r="F160" s="11">
        <v>58.3</v>
      </c>
      <c r="G160" s="114">
        <v>2020</v>
      </c>
      <c r="H160" s="11">
        <f>47.5+10.8</f>
        <v>58.3</v>
      </c>
      <c r="I160" s="24"/>
    </row>
    <row r="161" spans="1:9" ht="15.75" thickBot="1">
      <c r="A161" s="115" t="str">
        <f t="shared" si="2"/>
        <v>R12_CHN</v>
      </c>
      <c r="B161" t="s">
        <v>79</v>
      </c>
      <c r="C161" s="2" t="s">
        <v>42</v>
      </c>
      <c r="D161" t="s">
        <v>549</v>
      </c>
      <c r="E161" s="2" t="s">
        <v>40</v>
      </c>
      <c r="F161" s="121">
        <f>53.12*1000000/((18657+1370)*8)</f>
        <v>331.55240425425677</v>
      </c>
      <c r="G161" s="114">
        <v>2020</v>
      </c>
      <c r="H161" s="38" t="s">
        <v>181</v>
      </c>
      <c r="I161" s="24"/>
    </row>
    <row r="162" spans="1:9" ht="15.75" thickBot="1">
      <c r="A162" s="115" t="str">
        <f t="shared" si="2"/>
        <v>R12_CHN</v>
      </c>
      <c r="B162" t="s">
        <v>80</v>
      </c>
      <c r="C162" s="2" t="s">
        <v>39</v>
      </c>
      <c r="D162" t="s">
        <v>549</v>
      </c>
      <c r="E162" s="2" t="s">
        <v>40</v>
      </c>
      <c r="F162" s="119">
        <f>259+153</f>
        <v>412</v>
      </c>
      <c r="G162" s="114">
        <v>2020</v>
      </c>
      <c r="H162" t="s">
        <v>182</v>
      </c>
      <c r="I162" s="24"/>
    </row>
    <row r="163" spans="1:9" ht="15.75" thickBot="1">
      <c r="A163" s="115" t="str">
        <f t="shared" si="2"/>
        <v>R12_CHN</v>
      </c>
      <c r="B163" t="s">
        <v>80</v>
      </c>
      <c r="C163" s="2" t="s">
        <v>41</v>
      </c>
      <c r="D163" t="s">
        <v>549</v>
      </c>
      <c r="E163" s="2" t="s">
        <v>40</v>
      </c>
      <c r="F163" s="119">
        <f>298</f>
        <v>298</v>
      </c>
      <c r="G163" s="114">
        <v>2020</v>
      </c>
      <c r="H163" t="s">
        <v>182</v>
      </c>
      <c r="I163" s="24"/>
    </row>
    <row r="164" spans="1:9" ht="15.75" thickBot="1">
      <c r="A164" s="115" t="str">
        <f t="shared" si="2"/>
        <v>R12_CHN</v>
      </c>
      <c r="B164" t="s">
        <v>80</v>
      </c>
      <c r="C164" s="19" t="s">
        <v>42</v>
      </c>
      <c r="D164" t="s">
        <v>549</v>
      </c>
      <c r="E164" s="2" t="s">
        <v>40</v>
      </c>
      <c r="F164" s="35">
        <f>678-F161</f>
        <v>346.44759574574323</v>
      </c>
      <c r="G164" s="114">
        <v>2020</v>
      </c>
      <c r="H164" t="s">
        <v>183</v>
      </c>
      <c r="I164" s="24"/>
    </row>
    <row r="165" spans="1:9" ht="15.75" thickBot="1">
      <c r="A165" s="115" t="str">
        <f t="shared" si="2"/>
        <v>R12_CHN</v>
      </c>
      <c r="B165" s="2" t="s">
        <v>81</v>
      </c>
      <c r="C165" s="2" t="s">
        <v>39</v>
      </c>
      <c r="D165" t="s">
        <v>549</v>
      </c>
      <c r="E165" s="2" t="s">
        <v>40</v>
      </c>
      <c r="F165" s="119">
        <v>2550</v>
      </c>
      <c r="G165" s="114">
        <v>2020</v>
      </c>
      <c r="H165" t="s">
        <v>184</v>
      </c>
      <c r="I165" s="24"/>
    </row>
    <row r="166" spans="1:9" ht="15.75" thickBot="1">
      <c r="A166" s="115" t="str">
        <f t="shared" si="2"/>
        <v>R12_CHN</v>
      </c>
      <c r="B166" s="2" t="s">
        <v>81</v>
      </c>
      <c r="C166" s="2" t="s">
        <v>41</v>
      </c>
      <c r="D166" t="s">
        <v>549</v>
      </c>
      <c r="E166" s="2" t="s">
        <v>40</v>
      </c>
      <c r="F166" s="119">
        <v>2550</v>
      </c>
      <c r="G166" s="114">
        <v>2020</v>
      </c>
      <c r="H166" t="s">
        <v>184</v>
      </c>
      <c r="I166" s="24"/>
    </row>
    <row r="167" spans="1:9" ht="15.75" thickBot="1">
      <c r="A167" s="115" t="str">
        <f t="shared" si="2"/>
        <v>R12_CHN</v>
      </c>
      <c r="B167" s="2" t="s">
        <v>81</v>
      </c>
      <c r="C167" s="2" t="s">
        <v>42</v>
      </c>
      <c r="D167" t="s">
        <v>549</v>
      </c>
      <c r="E167" s="2" t="s">
        <v>40</v>
      </c>
      <c r="F167" s="119">
        <v>156</v>
      </c>
      <c r="G167" s="114">
        <v>2020</v>
      </c>
      <c r="H167" t="s">
        <v>183</v>
      </c>
      <c r="I167" s="5"/>
    </row>
    <row r="168" spans="1:9" ht="15.75" thickBot="1">
      <c r="A168" s="115" t="str">
        <f t="shared" si="2"/>
        <v>R12_CHN</v>
      </c>
      <c r="B168" s="2" t="s">
        <v>86</v>
      </c>
      <c r="C168" s="2" t="s">
        <v>39</v>
      </c>
      <c r="D168" t="s">
        <v>549</v>
      </c>
      <c r="E168" s="2" t="s">
        <v>40</v>
      </c>
      <c r="F168" s="119">
        <v>118.5</v>
      </c>
      <c r="G168" s="114">
        <v>2020</v>
      </c>
      <c r="H168" s="4" t="s">
        <v>185</v>
      </c>
      <c r="I168" s="5"/>
    </row>
    <row r="169" spans="1:9" ht="15.75" thickBot="1">
      <c r="A169" s="115" t="str">
        <f t="shared" si="2"/>
        <v>R12_CHN</v>
      </c>
      <c r="B169" s="2" t="s">
        <v>86</v>
      </c>
      <c r="C169" s="2" t="s">
        <v>41</v>
      </c>
      <c r="D169" t="s">
        <v>549</v>
      </c>
      <c r="E169" s="2" t="s">
        <v>40</v>
      </c>
      <c r="F169" s="119">
        <v>118.5</v>
      </c>
      <c r="G169" s="114">
        <v>2020</v>
      </c>
      <c r="H169" s="4" t="s">
        <v>185</v>
      </c>
      <c r="I169" s="24"/>
    </row>
    <row r="170" spans="1:9" ht="15.75" thickBot="1">
      <c r="A170" s="115" t="str">
        <f t="shared" si="2"/>
        <v>R12_CHN</v>
      </c>
      <c r="B170" s="19" t="s">
        <v>86</v>
      </c>
      <c r="C170" s="19" t="s">
        <v>42</v>
      </c>
      <c r="D170" t="s">
        <v>549</v>
      </c>
      <c r="E170" s="19" t="s">
        <v>40</v>
      </c>
      <c r="F170" s="27">
        <v>1500</v>
      </c>
      <c r="G170" s="114">
        <v>2020</v>
      </c>
      <c r="H170" s="39" t="s">
        <v>186</v>
      </c>
      <c r="I170" s="29"/>
    </row>
    <row r="171" spans="1:9" ht="15.75" thickBot="1">
      <c r="A171" s="115" t="str">
        <f t="shared" si="2"/>
        <v>R12_CHN</v>
      </c>
      <c r="B171" s="30" t="s">
        <v>73</v>
      </c>
      <c r="C171" s="30" t="s">
        <v>35</v>
      </c>
      <c r="D171" t="s">
        <v>549</v>
      </c>
      <c r="E171" s="30" t="s">
        <v>36</v>
      </c>
      <c r="F171" s="31">
        <v>20</v>
      </c>
      <c r="G171" s="114">
        <v>2020</v>
      </c>
      <c r="H171" s="54"/>
      <c r="I171" s="32"/>
    </row>
    <row r="172" spans="1:9" ht="15.75" thickBot="1">
      <c r="A172" s="115" t="str">
        <f t="shared" si="2"/>
        <v>R12_CHN</v>
      </c>
      <c r="B172" s="19" t="s">
        <v>73</v>
      </c>
      <c r="C172" s="19" t="s">
        <v>37</v>
      </c>
      <c r="D172" t="s">
        <v>549</v>
      </c>
      <c r="E172" s="19" t="s">
        <v>38</v>
      </c>
      <c r="F172" s="41">
        <v>0.8</v>
      </c>
      <c r="G172" s="114">
        <v>2020</v>
      </c>
      <c r="H172" s="23"/>
      <c r="I172" s="29"/>
    </row>
    <row r="173" spans="1:9" ht="15.75" thickBot="1">
      <c r="A173" s="115" t="str">
        <f t="shared" si="2"/>
        <v>R12_CHN</v>
      </c>
      <c r="B173" s="33" t="s">
        <v>75</v>
      </c>
      <c r="C173" s="30" t="s">
        <v>35</v>
      </c>
      <c r="D173" t="s">
        <v>549</v>
      </c>
      <c r="E173" s="30" t="s">
        <v>36</v>
      </c>
      <c r="F173" s="31">
        <v>20</v>
      </c>
      <c r="G173" s="114">
        <v>2020</v>
      </c>
      <c r="H173" s="54"/>
      <c r="I173" s="32"/>
    </row>
    <row r="174" spans="1:9" ht="15.75" thickBot="1">
      <c r="A174" s="115" t="str">
        <f t="shared" si="2"/>
        <v>R12_CHN</v>
      </c>
      <c r="B174" s="20" t="s">
        <v>75</v>
      </c>
      <c r="C174" s="19" t="s">
        <v>37</v>
      </c>
      <c r="D174" t="s">
        <v>549</v>
      </c>
      <c r="E174" s="19" t="s">
        <v>38</v>
      </c>
      <c r="F174" s="41">
        <v>0.8</v>
      </c>
      <c r="G174" s="114">
        <v>2020</v>
      </c>
      <c r="H174" s="23"/>
      <c r="I174" s="29"/>
    </row>
    <row r="175" spans="1:9" ht="15.75" thickBot="1">
      <c r="A175" s="115" t="str">
        <f t="shared" si="2"/>
        <v>R12_CHN</v>
      </c>
      <c r="B175" s="33" t="s">
        <v>79</v>
      </c>
      <c r="C175" s="30" t="s">
        <v>35</v>
      </c>
      <c r="D175" t="s">
        <v>549</v>
      </c>
      <c r="E175" s="30" t="s">
        <v>36</v>
      </c>
      <c r="F175" s="31">
        <v>20</v>
      </c>
      <c r="G175" s="114">
        <v>2020</v>
      </c>
      <c r="H175" s="54"/>
      <c r="I175" s="32"/>
    </row>
    <row r="176" spans="1:9" ht="15.75" thickBot="1">
      <c r="A176" s="115" t="str">
        <f t="shared" si="2"/>
        <v>R12_CHN</v>
      </c>
      <c r="B176" s="20" t="s">
        <v>79</v>
      </c>
      <c r="C176" s="19" t="s">
        <v>37</v>
      </c>
      <c r="D176" t="s">
        <v>549</v>
      </c>
      <c r="E176" s="19" t="s">
        <v>38</v>
      </c>
      <c r="F176" s="41">
        <v>0.8</v>
      </c>
      <c r="G176" s="114">
        <v>2020</v>
      </c>
      <c r="H176" s="23"/>
      <c r="I176" s="29"/>
    </row>
    <row r="177" spans="1:9" ht="15.75" thickBot="1">
      <c r="A177" s="115" t="str">
        <f t="shared" si="2"/>
        <v>R12_CHN</v>
      </c>
      <c r="B177" s="33" t="s">
        <v>80</v>
      </c>
      <c r="C177" s="30" t="s">
        <v>35</v>
      </c>
      <c r="D177" t="s">
        <v>549</v>
      </c>
      <c r="E177" s="30" t="s">
        <v>36</v>
      </c>
      <c r="F177" s="31">
        <v>20</v>
      </c>
      <c r="G177" s="114">
        <v>2020</v>
      </c>
      <c r="H177" s="54"/>
      <c r="I177" s="32"/>
    </row>
    <row r="178" spans="1:9" ht="15.75" thickBot="1">
      <c r="A178" s="115" t="str">
        <f t="shared" si="2"/>
        <v>R12_CHN</v>
      </c>
      <c r="B178" s="20" t="s">
        <v>80</v>
      </c>
      <c r="C178" s="19" t="s">
        <v>37</v>
      </c>
      <c r="D178" t="s">
        <v>549</v>
      </c>
      <c r="E178" s="19" t="s">
        <v>38</v>
      </c>
      <c r="F178" s="41">
        <v>0.8</v>
      </c>
      <c r="G178" s="114">
        <v>2020</v>
      </c>
      <c r="H178" s="23"/>
      <c r="I178" s="29"/>
    </row>
    <row r="179" spans="1:9" ht="15.75" thickBot="1">
      <c r="A179" s="115" t="str">
        <f t="shared" si="2"/>
        <v>R12_CHN</v>
      </c>
      <c r="B179" s="30" t="s">
        <v>81</v>
      </c>
      <c r="C179" s="30" t="s">
        <v>35</v>
      </c>
      <c r="D179" t="s">
        <v>549</v>
      </c>
      <c r="E179" s="30" t="s">
        <v>36</v>
      </c>
      <c r="F179" s="31">
        <v>20</v>
      </c>
      <c r="G179" s="114">
        <v>2020</v>
      </c>
      <c r="H179" s="54"/>
      <c r="I179" s="32"/>
    </row>
    <row r="180" spans="1:9" ht="15.75" thickBot="1">
      <c r="A180" s="115" t="str">
        <f t="shared" si="2"/>
        <v>R12_CHN</v>
      </c>
      <c r="B180" s="19" t="s">
        <v>81</v>
      </c>
      <c r="C180" s="19" t="s">
        <v>37</v>
      </c>
      <c r="D180" t="s">
        <v>549</v>
      </c>
      <c r="E180" s="19" t="s">
        <v>38</v>
      </c>
      <c r="F180" s="41">
        <v>0.8</v>
      </c>
      <c r="G180" s="114">
        <v>2020</v>
      </c>
      <c r="H180" s="23"/>
      <c r="I180" s="29"/>
    </row>
    <row r="181" spans="1:9" ht="15.75" thickBot="1">
      <c r="A181" s="115" t="str">
        <f t="shared" si="2"/>
        <v>R12_CHN</v>
      </c>
      <c r="B181" s="2" t="s">
        <v>86</v>
      </c>
      <c r="C181" s="2" t="s">
        <v>35</v>
      </c>
      <c r="D181" t="s">
        <v>549</v>
      </c>
      <c r="E181" s="2" t="s">
        <v>36</v>
      </c>
      <c r="F181" s="121">
        <v>20</v>
      </c>
      <c r="G181" s="114">
        <v>2020</v>
      </c>
      <c r="H181" s="4"/>
      <c r="I181" s="24"/>
    </row>
    <row r="182" spans="1:9" ht="15.75" thickBot="1">
      <c r="A182" s="115" t="str">
        <f t="shared" si="2"/>
        <v>R12_CHN</v>
      </c>
      <c r="B182" s="19" t="s">
        <v>86</v>
      </c>
      <c r="C182" s="19" t="s">
        <v>37</v>
      </c>
      <c r="D182" t="s">
        <v>549</v>
      </c>
      <c r="E182" s="19" t="s">
        <v>38</v>
      </c>
      <c r="F182" s="41">
        <v>0.8</v>
      </c>
      <c r="G182" s="114">
        <v>2020</v>
      </c>
      <c r="H182" s="23"/>
      <c r="I182" s="29"/>
    </row>
    <row r="183" spans="1:9" ht="15.75" thickBot="1">
      <c r="A183" s="115" t="str">
        <f>A182</f>
        <v>R12_CHN</v>
      </c>
      <c r="B183" s="2" t="s">
        <v>87</v>
      </c>
      <c r="C183" s="2" t="s">
        <v>187</v>
      </c>
      <c r="D183" t="s">
        <v>549</v>
      </c>
      <c r="E183" s="2" t="s">
        <v>16</v>
      </c>
      <c r="F183" s="3">
        <v>0.31</v>
      </c>
      <c r="G183" s="114">
        <v>2020</v>
      </c>
      <c r="H183" s="34"/>
      <c r="I183" s="24"/>
    </row>
    <row r="184" spans="1:9" ht="15.75" thickBot="1">
      <c r="A184" s="115" t="str">
        <f t="shared" si="2"/>
        <v>R12_CHN</v>
      </c>
      <c r="B184" s="2" t="s">
        <v>87</v>
      </c>
      <c r="C184" s="2" t="s">
        <v>188</v>
      </c>
      <c r="D184" t="s">
        <v>549</v>
      </c>
      <c r="E184" s="2" t="s">
        <v>16</v>
      </c>
      <c r="F184" s="3">
        <v>0.26</v>
      </c>
      <c r="G184" s="114">
        <v>2020</v>
      </c>
      <c r="H184" s="34"/>
      <c r="I184" s="24"/>
    </row>
    <row r="185" spans="1:9" ht="15.75" thickBot="1">
      <c r="A185" s="115" t="str">
        <f t="shared" si="2"/>
        <v>R12_CHN</v>
      </c>
      <c r="B185" s="2" t="s">
        <v>87</v>
      </c>
      <c r="C185" s="2" t="s">
        <v>189</v>
      </c>
      <c r="D185" t="s">
        <v>549</v>
      </c>
      <c r="E185" s="2" t="s">
        <v>16</v>
      </c>
      <c r="F185" s="3">
        <v>0.43</v>
      </c>
      <c r="G185" s="114">
        <v>2020</v>
      </c>
      <c r="H185" s="34"/>
      <c r="I185" s="24"/>
    </row>
    <row r="186" spans="1:9" ht="15.75" thickBot="1">
      <c r="A186" s="115" t="str">
        <f t="shared" si="2"/>
        <v>R12_CHN</v>
      </c>
      <c r="B186" s="2" t="s">
        <v>87</v>
      </c>
      <c r="C186" s="2" t="s">
        <v>227</v>
      </c>
      <c r="D186" t="s">
        <v>549</v>
      </c>
      <c r="E186" s="2" t="s">
        <v>23</v>
      </c>
      <c r="F186" s="3">
        <v>0.65812290915709737</v>
      </c>
      <c r="G186" s="114">
        <v>2020</v>
      </c>
      <c r="H186" s="34"/>
      <c r="I186" s="24"/>
    </row>
    <row r="187" spans="1:9" ht="15.75" thickBot="1">
      <c r="A187" s="115" t="str">
        <f t="shared" si="2"/>
        <v>R12_CHN</v>
      </c>
      <c r="B187" s="2" t="s">
        <v>87</v>
      </c>
      <c r="C187" s="2" t="s">
        <v>231</v>
      </c>
      <c r="D187" t="s">
        <v>549</v>
      </c>
      <c r="E187" s="2" t="s">
        <v>23</v>
      </c>
      <c r="F187" s="3">
        <v>0.21628727894956618</v>
      </c>
      <c r="G187" s="114">
        <v>2020</v>
      </c>
      <c r="H187" s="34"/>
      <c r="I187" s="24"/>
    </row>
    <row r="188" spans="1:9" ht="15.75" thickBot="1">
      <c r="A188" s="115" t="str">
        <f t="shared" si="2"/>
        <v>R12_CHN</v>
      </c>
      <c r="B188" s="2" t="s">
        <v>87</v>
      </c>
      <c r="C188" s="2" t="s">
        <v>190</v>
      </c>
      <c r="D188" t="s">
        <v>549</v>
      </c>
      <c r="E188" s="2" t="s">
        <v>29</v>
      </c>
      <c r="F188" s="3">
        <v>1</v>
      </c>
      <c r="G188" s="114">
        <v>2020</v>
      </c>
      <c r="H188" s="34"/>
      <c r="I188" s="24"/>
    </row>
    <row r="189" spans="1:9" ht="15.75" thickBot="1">
      <c r="A189" s="115" t="str">
        <f t="shared" si="2"/>
        <v>R12_CHN</v>
      </c>
      <c r="B189" s="2" t="s">
        <v>87</v>
      </c>
      <c r="C189" s="2" t="s">
        <v>39</v>
      </c>
      <c r="D189" t="s">
        <v>549</v>
      </c>
      <c r="E189" s="2" t="s">
        <v>40</v>
      </c>
      <c r="F189" s="3">
        <v>912.18</v>
      </c>
      <c r="G189" s="114">
        <v>2020</v>
      </c>
      <c r="H189" s="34"/>
      <c r="I189" s="24"/>
    </row>
    <row r="190" spans="1:9" ht="15.75" thickBot="1">
      <c r="A190" s="115" t="str">
        <f t="shared" si="2"/>
        <v>R12_CHN</v>
      </c>
      <c r="B190" s="2" t="s">
        <v>87</v>
      </c>
      <c r="C190" s="2" t="s">
        <v>41</v>
      </c>
      <c r="D190" t="s">
        <v>549</v>
      </c>
      <c r="E190" s="2" t="s">
        <v>40</v>
      </c>
      <c r="F190" s="3">
        <v>91.7</v>
      </c>
      <c r="G190" s="114">
        <v>2020</v>
      </c>
      <c r="H190" s="34"/>
      <c r="I190" s="24"/>
    </row>
    <row r="191" spans="1:9" ht="15.75" thickBot="1">
      <c r="A191" s="115" t="str">
        <f t="shared" ref="A191:A257" si="3">A190</f>
        <v>R12_CHN</v>
      </c>
      <c r="B191" s="2" t="s">
        <v>87</v>
      </c>
      <c r="C191" s="2" t="s">
        <v>42</v>
      </c>
      <c r="D191" t="s">
        <v>549</v>
      </c>
      <c r="E191" s="2" t="s">
        <v>40</v>
      </c>
      <c r="F191" s="3">
        <v>1018.36</v>
      </c>
      <c r="G191" s="114">
        <v>2020</v>
      </c>
      <c r="H191" s="34"/>
      <c r="I191" s="24"/>
    </row>
    <row r="192" spans="1:9" ht="15.75" thickBot="1">
      <c r="A192" s="115" t="str">
        <f t="shared" si="3"/>
        <v>R12_CHN</v>
      </c>
      <c r="B192" s="2" t="s">
        <v>87</v>
      </c>
      <c r="C192" s="2" t="s">
        <v>35</v>
      </c>
      <c r="D192" t="s">
        <v>549</v>
      </c>
      <c r="E192" s="2" t="s">
        <v>36</v>
      </c>
      <c r="F192" s="121">
        <v>30</v>
      </c>
      <c r="G192" s="114">
        <v>2020</v>
      </c>
      <c r="H192" s="34"/>
      <c r="I192" s="24"/>
    </row>
    <row r="193" spans="1:9" ht="15.75" thickBot="1">
      <c r="A193" s="115" t="str">
        <f t="shared" si="3"/>
        <v>R12_CHN</v>
      </c>
      <c r="B193" s="2" t="s">
        <v>87</v>
      </c>
      <c r="C193" s="2" t="s">
        <v>37</v>
      </c>
      <c r="D193" t="s">
        <v>549</v>
      </c>
      <c r="E193" s="2" t="s">
        <v>38</v>
      </c>
      <c r="F193" s="21">
        <v>0.8</v>
      </c>
      <c r="G193" s="114">
        <v>2020</v>
      </c>
      <c r="H193" s="34"/>
      <c r="I193" s="24"/>
    </row>
    <row r="194" spans="1:9" ht="15.75" thickBot="1">
      <c r="A194" s="115" t="str">
        <f t="shared" si="3"/>
        <v>R12_CHN</v>
      </c>
      <c r="B194" s="2" t="s">
        <v>89</v>
      </c>
      <c r="C194" s="2" t="s">
        <v>187</v>
      </c>
      <c r="D194" t="s">
        <v>549</v>
      </c>
      <c r="E194" s="2" t="s">
        <v>16</v>
      </c>
      <c r="F194" s="3">
        <v>0.31</v>
      </c>
      <c r="G194" s="114">
        <v>2020</v>
      </c>
      <c r="H194" s="34"/>
      <c r="I194" s="24"/>
    </row>
    <row r="195" spans="1:9" ht="15.75" thickBot="1">
      <c r="A195" s="115" t="str">
        <f t="shared" si="3"/>
        <v>R12_CHN</v>
      </c>
      <c r="B195" s="2" t="s">
        <v>89</v>
      </c>
      <c r="C195" s="2" t="s">
        <v>188</v>
      </c>
      <c r="D195" t="s">
        <v>549</v>
      </c>
      <c r="E195" s="2" t="s">
        <v>16</v>
      </c>
      <c r="F195" s="3">
        <v>0.26</v>
      </c>
      <c r="G195" s="114">
        <v>2020</v>
      </c>
      <c r="H195" s="34"/>
      <c r="I195" s="24"/>
    </row>
    <row r="196" spans="1:9" ht="15.75" thickBot="1">
      <c r="A196" s="115" t="str">
        <f t="shared" si="3"/>
        <v>R12_CHN</v>
      </c>
      <c r="B196" s="2" t="s">
        <v>89</v>
      </c>
      <c r="C196" s="2" t="s">
        <v>189</v>
      </c>
      <c r="D196" t="s">
        <v>549</v>
      </c>
      <c r="E196" s="2" t="s">
        <v>16</v>
      </c>
      <c r="F196" s="3">
        <v>0.43</v>
      </c>
      <c r="G196" s="114">
        <v>2020</v>
      </c>
      <c r="H196" s="34"/>
      <c r="I196" s="24"/>
    </row>
    <row r="197" spans="1:9" ht="15.75" thickBot="1">
      <c r="A197" s="115" t="str">
        <f t="shared" si="3"/>
        <v>R12_CHN</v>
      </c>
      <c r="B197" s="2" t="s">
        <v>89</v>
      </c>
      <c r="C197" s="2" t="s">
        <v>227</v>
      </c>
      <c r="D197" t="s">
        <v>549</v>
      </c>
      <c r="E197" s="2" t="s">
        <v>23</v>
      </c>
      <c r="F197" s="3">
        <v>0.5893759508885994</v>
      </c>
      <c r="G197" s="114">
        <v>2020</v>
      </c>
      <c r="H197" s="34"/>
      <c r="I197" s="24"/>
    </row>
    <row r="198" spans="1:9" ht="15.75" thickBot="1">
      <c r="A198" s="115" t="str">
        <f t="shared" si="3"/>
        <v>R12_CHN</v>
      </c>
      <c r="B198" s="2" t="s">
        <v>89</v>
      </c>
      <c r="C198" s="2" t="s">
        <v>231</v>
      </c>
      <c r="D198" t="s">
        <v>549</v>
      </c>
      <c r="E198" s="2" t="s">
        <v>23</v>
      </c>
      <c r="F198" s="3">
        <v>0.21363132939259222</v>
      </c>
      <c r="G198" s="114">
        <v>2020</v>
      </c>
      <c r="H198" s="34"/>
      <c r="I198" s="24"/>
    </row>
    <row r="199" spans="1:9" ht="15.75" thickBot="1">
      <c r="A199" s="115" t="str">
        <f t="shared" si="3"/>
        <v>R12_CHN</v>
      </c>
      <c r="B199" s="2" t="s">
        <v>89</v>
      </c>
      <c r="C199" s="2" t="s">
        <v>191</v>
      </c>
      <c r="D199" t="s">
        <v>549</v>
      </c>
      <c r="E199" s="2" t="s">
        <v>29</v>
      </c>
      <c r="F199" s="3">
        <v>1</v>
      </c>
      <c r="G199" s="114">
        <v>2020</v>
      </c>
      <c r="H199" s="34"/>
      <c r="I199" s="24"/>
    </row>
    <row r="200" spans="1:9" ht="15.75" thickBot="1">
      <c r="A200" s="115" t="str">
        <f t="shared" si="3"/>
        <v>R12_CHN</v>
      </c>
      <c r="B200" s="2" t="s">
        <v>89</v>
      </c>
      <c r="C200" s="2" t="s">
        <v>39</v>
      </c>
      <c r="D200" t="s">
        <v>549</v>
      </c>
      <c r="E200" s="2" t="s">
        <v>40</v>
      </c>
      <c r="F200" s="3">
        <v>738.07</v>
      </c>
      <c r="G200" s="114">
        <v>2020</v>
      </c>
      <c r="H200" s="34"/>
      <c r="I200" s="24"/>
    </row>
    <row r="201" spans="1:9" ht="15.75" thickBot="1">
      <c r="A201" s="115" t="str">
        <f t="shared" si="3"/>
        <v>R12_CHN</v>
      </c>
      <c r="B201" s="2" t="s">
        <v>89</v>
      </c>
      <c r="C201" s="2" t="s">
        <v>41</v>
      </c>
      <c r="D201" t="s">
        <v>549</v>
      </c>
      <c r="E201" s="2" t="s">
        <v>40</v>
      </c>
      <c r="F201" s="3">
        <v>73.81</v>
      </c>
      <c r="G201" s="114">
        <v>2020</v>
      </c>
      <c r="H201" s="34"/>
      <c r="I201" s="24"/>
    </row>
    <row r="202" spans="1:9" ht="15.75" thickBot="1">
      <c r="A202" s="115" t="str">
        <f t="shared" si="3"/>
        <v>R12_CHN</v>
      </c>
      <c r="B202" s="2" t="s">
        <v>89</v>
      </c>
      <c r="C202" s="2" t="s">
        <v>42</v>
      </c>
      <c r="D202" t="s">
        <v>549</v>
      </c>
      <c r="E202" s="2" t="s">
        <v>40</v>
      </c>
      <c r="F202" s="3">
        <v>819.65</v>
      </c>
      <c r="G202" s="114">
        <v>2020</v>
      </c>
      <c r="H202" s="34"/>
      <c r="I202" s="24"/>
    </row>
    <row r="203" spans="1:9" ht="15.75" thickBot="1">
      <c r="A203" s="115" t="str">
        <f t="shared" si="3"/>
        <v>R12_CHN</v>
      </c>
      <c r="B203" s="2" t="s">
        <v>89</v>
      </c>
      <c r="C203" s="2" t="s">
        <v>35</v>
      </c>
      <c r="D203" t="s">
        <v>549</v>
      </c>
      <c r="E203" s="2" t="s">
        <v>36</v>
      </c>
      <c r="F203" s="121">
        <v>30</v>
      </c>
      <c r="G203" s="114">
        <v>2020</v>
      </c>
      <c r="H203" s="34"/>
      <c r="I203" s="24"/>
    </row>
    <row r="204" spans="1:9" ht="15.75" thickBot="1">
      <c r="A204" s="115" t="str">
        <f t="shared" si="3"/>
        <v>R12_CHN</v>
      </c>
      <c r="B204" s="19" t="s">
        <v>89</v>
      </c>
      <c r="C204" s="19" t="s">
        <v>37</v>
      </c>
      <c r="D204" t="s">
        <v>549</v>
      </c>
      <c r="E204" s="19" t="s">
        <v>38</v>
      </c>
      <c r="F204" s="21">
        <v>0.8</v>
      </c>
      <c r="G204" s="114">
        <v>2020</v>
      </c>
      <c r="H204" s="55"/>
      <c r="I204" s="29"/>
    </row>
    <row r="205" spans="1:9" ht="15.75" thickBot="1">
      <c r="A205" s="115" t="str">
        <f t="shared" si="3"/>
        <v>R12_CHN</v>
      </c>
      <c r="B205" s="2" t="s">
        <v>92</v>
      </c>
      <c r="C205" s="2" t="s">
        <v>187</v>
      </c>
      <c r="D205" t="s">
        <v>549</v>
      </c>
      <c r="E205" s="2" t="s">
        <v>16</v>
      </c>
      <c r="F205" s="3">
        <v>0.3</v>
      </c>
      <c r="G205" s="114">
        <v>2020</v>
      </c>
      <c r="H205" s="34"/>
      <c r="I205" s="24"/>
    </row>
    <row r="206" spans="1:9" ht="15.75" thickBot="1">
      <c r="A206" s="115" t="str">
        <f t="shared" si="3"/>
        <v>R12_CHN</v>
      </c>
      <c r="B206" s="2" t="s">
        <v>92</v>
      </c>
      <c r="C206" s="2" t="s">
        <v>188</v>
      </c>
      <c r="D206" t="s">
        <v>549</v>
      </c>
      <c r="E206" s="2" t="s">
        <v>16</v>
      </c>
      <c r="F206" s="3">
        <v>0.25</v>
      </c>
      <c r="G206" s="114">
        <v>2020</v>
      </c>
      <c r="H206" s="34"/>
      <c r="I206" s="24"/>
    </row>
    <row r="207" spans="1:9" ht="15.75" thickBot="1">
      <c r="A207" s="115" t="str">
        <f t="shared" si="3"/>
        <v>R12_CHN</v>
      </c>
      <c r="B207" s="2" t="s">
        <v>92</v>
      </c>
      <c r="C207" s="2" t="s">
        <v>189</v>
      </c>
      <c r="D207" t="s">
        <v>549</v>
      </c>
      <c r="E207" s="2" t="s">
        <v>16</v>
      </c>
      <c r="F207" s="3">
        <v>0.43</v>
      </c>
      <c r="G207" s="114">
        <v>2020</v>
      </c>
      <c r="H207" s="34"/>
      <c r="I207" s="24"/>
    </row>
    <row r="208" spans="1:9" ht="15.75" thickBot="1">
      <c r="A208" s="115" t="str">
        <f t="shared" si="3"/>
        <v>R12_CHN</v>
      </c>
      <c r="B208" s="2" t="s">
        <v>92</v>
      </c>
      <c r="C208" s="2" t="s">
        <v>227</v>
      </c>
      <c r="D208" t="s">
        <v>549</v>
      </c>
      <c r="E208" s="2" t="s">
        <v>23</v>
      </c>
      <c r="F208" s="3">
        <v>0.94706154504016138</v>
      </c>
      <c r="G208" s="114">
        <v>2020</v>
      </c>
      <c r="H208" s="34" t="s">
        <v>192</v>
      </c>
      <c r="I208" s="24"/>
    </row>
    <row r="209" spans="1:9" ht="15.75" thickBot="1">
      <c r="A209" s="115" t="str">
        <f t="shared" si="3"/>
        <v>R12_CHN</v>
      </c>
      <c r="B209" s="2" t="s">
        <v>92</v>
      </c>
      <c r="C209" s="2" t="s">
        <v>231</v>
      </c>
      <c r="D209" t="s">
        <v>549</v>
      </c>
      <c r="E209" s="2" t="s">
        <v>23</v>
      </c>
      <c r="F209" s="3">
        <v>0.32902712155755975</v>
      </c>
      <c r="G209" s="114">
        <v>2020</v>
      </c>
      <c r="H209" s="34" t="s">
        <v>192</v>
      </c>
      <c r="I209" s="24"/>
    </row>
    <row r="210" spans="1:9" ht="15.75" thickBot="1">
      <c r="A210" s="115" t="str">
        <f t="shared" si="3"/>
        <v>R12_CHN</v>
      </c>
      <c r="B210" s="2" t="s">
        <v>92</v>
      </c>
      <c r="C210" s="2" t="s">
        <v>193</v>
      </c>
      <c r="D210" t="s">
        <v>549</v>
      </c>
      <c r="E210" s="2" t="s">
        <v>29</v>
      </c>
      <c r="F210" s="3">
        <v>1</v>
      </c>
      <c r="G210" s="114">
        <v>2020</v>
      </c>
      <c r="H210" s="34"/>
      <c r="I210" s="24"/>
    </row>
    <row r="211" spans="1:9" ht="15.75" thickBot="1">
      <c r="A211" s="115" t="str">
        <f t="shared" si="3"/>
        <v>R12_CHN</v>
      </c>
      <c r="B211" s="2" t="s">
        <v>92</v>
      </c>
      <c r="C211" s="2" t="s">
        <v>39</v>
      </c>
      <c r="D211" t="s">
        <v>549</v>
      </c>
      <c r="E211" s="2" t="s">
        <v>40</v>
      </c>
      <c r="F211" s="3">
        <v>424.33</v>
      </c>
      <c r="G211" s="114">
        <v>2020</v>
      </c>
      <c r="H211" s="34"/>
      <c r="I211" s="24"/>
    </row>
    <row r="212" spans="1:9" ht="15.75" thickBot="1">
      <c r="A212" s="115" t="str">
        <f t="shared" si="3"/>
        <v>R12_CHN</v>
      </c>
      <c r="B212" s="2" t="s">
        <v>92</v>
      </c>
      <c r="C212" s="2" t="s">
        <v>41</v>
      </c>
      <c r="D212" t="s">
        <v>549</v>
      </c>
      <c r="E212" s="2" t="s">
        <v>40</v>
      </c>
      <c r="F212" s="3">
        <v>32.31</v>
      </c>
      <c r="G212" s="114">
        <v>2020</v>
      </c>
      <c r="H212" s="34"/>
      <c r="I212" s="24"/>
    </row>
    <row r="213" spans="1:9" ht="15.75" thickBot="1">
      <c r="A213" s="115" t="str">
        <f t="shared" si="3"/>
        <v>R12_CHN</v>
      </c>
      <c r="B213" s="2" t="s">
        <v>92</v>
      </c>
      <c r="C213" s="2" t="s">
        <v>42</v>
      </c>
      <c r="D213" t="s">
        <v>549</v>
      </c>
      <c r="E213" s="2" t="s">
        <v>40</v>
      </c>
      <c r="F213" s="3">
        <v>469.56</v>
      </c>
      <c r="G213" s="114">
        <v>2020</v>
      </c>
      <c r="H213" s="34"/>
      <c r="I213" s="24"/>
    </row>
    <row r="214" spans="1:9" ht="15.75" thickBot="1">
      <c r="A214" s="115" t="str">
        <f t="shared" si="3"/>
        <v>R12_CHN</v>
      </c>
      <c r="B214" s="2" t="s">
        <v>92</v>
      </c>
      <c r="C214" s="2" t="s">
        <v>35</v>
      </c>
      <c r="D214" t="s">
        <v>549</v>
      </c>
      <c r="E214" s="2" t="s">
        <v>36</v>
      </c>
      <c r="F214" s="121">
        <v>30</v>
      </c>
      <c r="G214" s="114">
        <v>2020</v>
      </c>
      <c r="H214" s="34"/>
      <c r="I214" s="24"/>
    </row>
    <row r="215" spans="1:9" ht="15.75" thickBot="1">
      <c r="A215" s="115" t="str">
        <f t="shared" si="3"/>
        <v>R12_CHN</v>
      </c>
      <c r="B215" s="19" t="s">
        <v>92</v>
      </c>
      <c r="C215" s="19" t="s">
        <v>37</v>
      </c>
      <c r="D215" t="s">
        <v>549</v>
      </c>
      <c r="E215" s="19" t="s">
        <v>38</v>
      </c>
      <c r="F215" s="21">
        <v>0.8</v>
      </c>
      <c r="G215" s="114">
        <v>2020</v>
      </c>
      <c r="H215" s="55"/>
      <c r="I215" s="29"/>
    </row>
    <row r="216" spans="1:9" ht="15.75" thickBot="1">
      <c r="A216" s="115" t="str">
        <f t="shared" si="3"/>
        <v>R12_CHN</v>
      </c>
      <c r="B216" s="2" t="s">
        <v>95</v>
      </c>
      <c r="C216" s="2" t="s">
        <v>187</v>
      </c>
      <c r="D216" t="s">
        <v>549</v>
      </c>
      <c r="E216" s="2" t="s">
        <v>16</v>
      </c>
      <c r="F216" s="3">
        <v>0.31</v>
      </c>
      <c r="G216" s="114">
        <v>2020</v>
      </c>
      <c r="H216" s="34"/>
      <c r="I216" s="24"/>
    </row>
    <row r="217" spans="1:9" ht="15.75" thickBot="1">
      <c r="A217" s="115" t="str">
        <f t="shared" si="3"/>
        <v>R12_CHN</v>
      </c>
      <c r="B217" s="2" t="s">
        <v>95</v>
      </c>
      <c r="C217" s="2" t="s">
        <v>188</v>
      </c>
      <c r="D217" t="s">
        <v>549</v>
      </c>
      <c r="E217" s="2" t="s">
        <v>16</v>
      </c>
      <c r="F217" s="3">
        <v>0.26</v>
      </c>
      <c r="G217" s="114">
        <v>2020</v>
      </c>
      <c r="H217" s="34"/>
      <c r="I217" s="24"/>
    </row>
    <row r="218" spans="1:9" ht="15.75" thickBot="1">
      <c r="A218" s="115" t="str">
        <f t="shared" si="3"/>
        <v>R12_CHN</v>
      </c>
      <c r="B218" s="2" t="s">
        <v>95</v>
      </c>
      <c r="C218" s="2" t="s">
        <v>189</v>
      </c>
      <c r="D218" t="s">
        <v>549</v>
      </c>
      <c r="E218" s="2" t="s">
        <v>16</v>
      </c>
      <c r="F218" s="3">
        <v>0.43</v>
      </c>
      <c r="G218" s="114">
        <v>2020</v>
      </c>
      <c r="H218" s="34"/>
      <c r="I218" s="24"/>
    </row>
    <row r="219" spans="1:9" ht="15.75" thickBot="1">
      <c r="A219" s="115" t="str">
        <f t="shared" si="3"/>
        <v>R12_CHN</v>
      </c>
      <c r="B219" s="2" t="s">
        <v>95</v>
      </c>
      <c r="C219" s="2" t="s">
        <v>227</v>
      </c>
      <c r="D219" t="s">
        <v>549</v>
      </c>
      <c r="E219" s="2" t="s">
        <v>23</v>
      </c>
      <c r="F219" s="3">
        <v>0.59199547594561963</v>
      </c>
      <c r="G219" s="114">
        <v>2020</v>
      </c>
      <c r="H219" s="34"/>
      <c r="I219" s="24"/>
    </row>
    <row r="220" spans="1:9" ht="15.75" thickBot="1">
      <c r="A220" s="115" t="str">
        <f t="shared" si="3"/>
        <v>R12_CHN</v>
      </c>
      <c r="B220" s="2" t="s">
        <v>95</v>
      </c>
      <c r="C220" s="2" t="s">
        <v>231</v>
      </c>
      <c r="D220" t="s">
        <v>549</v>
      </c>
      <c r="E220" s="2" t="s">
        <v>23</v>
      </c>
      <c r="F220" s="3">
        <v>0.21418238486633129</v>
      </c>
      <c r="G220" s="114">
        <v>2020</v>
      </c>
      <c r="H220" s="34"/>
      <c r="I220" s="24"/>
    </row>
    <row r="221" spans="1:9" ht="15.75" thickBot="1">
      <c r="A221" s="115" t="str">
        <f t="shared" si="3"/>
        <v>R12_CHN</v>
      </c>
      <c r="B221" s="2" t="s">
        <v>95</v>
      </c>
      <c r="C221" s="2" t="s">
        <v>194</v>
      </c>
      <c r="D221" t="s">
        <v>549</v>
      </c>
      <c r="E221" s="2" t="s">
        <v>29</v>
      </c>
      <c r="F221" s="3">
        <v>1</v>
      </c>
      <c r="G221" s="114">
        <v>2020</v>
      </c>
      <c r="H221" s="34"/>
      <c r="I221" s="24"/>
    </row>
    <row r="222" spans="1:9" ht="15.75" thickBot="1">
      <c r="A222" s="115" t="str">
        <f t="shared" si="3"/>
        <v>R12_CHN</v>
      </c>
      <c r="B222" s="2" t="s">
        <v>95</v>
      </c>
      <c r="C222" s="2" t="s">
        <v>39</v>
      </c>
      <c r="D222" t="s">
        <v>549</v>
      </c>
      <c r="E222" s="2" t="s">
        <v>40</v>
      </c>
      <c r="F222" s="3">
        <v>1008.99</v>
      </c>
      <c r="G222" s="114">
        <v>2020</v>
      </c>
      <c r="H222" s="34"/>
      <c r="I222" s="24"/>
    </row>
    <row r="223" spans="1:9" ht="15.75" thickBot="1">
      <c r="A223" s="115" t="str">
        <f t="shared" si="3"/>
        <v>R12_CHN</v>
      </c>
      <c r="B223" s="2" t="s">
        <v>95</v>
      </c>
      <c r="C223" s="2" t="s">
        <v>41</v>
      </c>
      <c r="D223" t="s">
        <v>549</v>
      </c>
      <c r="E223" s="2" t="s">
        <v>40</v>
      </c>
      <c r="F223" s="3">
        <v>100.9</v>
      </c>
      <c r="G223" s="114">
        <v>2020</v>
      </c>
      <c r="H223" s="34"/>
      <c r="I223" s="24"/>
    </row>
    <row r="224" spans="1:9" ht="15.75" thickBot="1">
      <c r="A224" s="115" t="str">
        <f t="shared" si="3"/>
        <v>R12_CHN</v>
      </c>
      <c r="B224" s="2" t="s">
        <v>95</v>
      </c>
      <c r="C224" s="2" t="s">
        <v>42</v>
      </c>
      <c r="D224" t="s">
        <v>549</v>
      </c>
      <c r="E224" s="2" t="s">
        <v>40</v>
      </c>
      <c r="F224" s="3">
        <v>1120.51</v>
      </c>
      <c r="G224" s="114">
        <v>2020</v>
      </c>
      <c r="H224" s="34"/>
      <c r="I224" s="24"/>
    </row>
    <row r="225" spans="1:9" ht="15.75" thickBot="1">
      <c r="A225" s="115" t="str">
        <f t="shared" si="3"/>
        <v>R12_CHN</v>
      </c>
      <c r="B225" s="2" t="s">
        <v>95</v>
      </c>
      <c r="C225" s="2" t="s">
        <v>35</v>
      </c>
      <c r="D225" t="s">
        <v>549</v>
      </c>
      <c r="E225" s="2" t="s">
        <v>36</v>
      </c>
      <c r="F225" s="121">
        <v>30</v>
      </c>
      <c r="G225" s="114">
        <v>2020</v>
      </c>
      <c r="H225" s="34"/>
      <c r="I225" s="24"/>
    </row>
    <row r="226" spans="1:9" ht="15.75" thickBot="1">
      <c r="A226" s="115" t="str">
        <f t="shared" si="3"/>
        <v>R12_CHN</v>
      </c>
      <c r="B226" s="19" t="s">
        <v>95</v>
      </c>
      <c r="C226" s="19" t="s">
        <v>37</v>
      </c>
      <c r="D226" t="s">
        <v>549</v>
      </c>
      <c r="E226" s="19" t="s">
        <v>38</v>
      </c>
      <c r="F226" s="21">
        <v>0.8</v>
      </c>
      <c r="G226" s="114">
        <v>2020</v>
      </c>
      <c r="H226" s="55"/>
      <c r="I226" s="29"/>
    </row>
    <row r="227" spans="1:9" ht="15.75" thickBot="1">
      <c r="A227" s="115" t="str">
        <f t="shared" si="3"/>
        <v>R12_CHN</v>
      </c>
      <c r="B227" s="2" t="s">
        <v>97</v>
      </c>
      <c r="C227" s="2" t="s">
        <v>195</v>
      </c>
      <c r="D227" t="s">
        <v>549</v>
      </c>
      <c r="E227" s="2" t="s">
        <v>16</v>
      </c>
      <c r="F227" s="3">
        <v>0.06</v>
      </c>
      <c r="G227" s="114">
        <v>2020</v>
      </c>
      <c r="H227" s="34"/>
      <c r="I227" s="24"/>
    </row>
    <row r="228" spans="1:9" ht="15.75" thickBot="1">
      <c r="A228" s="115" t="str">
        <f t="shared" si="3"/>
        <v>R12_CHN</v>
      </c>
      <c r="B228" s="2" t="s">
        <v>97</v>
      </c>
      <c r="C228" s="2" t="s">
        <v>196</v>
      </c>
      <c r="D228" t="s">
        <v>549</v>
      </c>
      <c r="E228" s="2" t="s">
        <v>16</v>
      </c>
      <c r="F228" s="3">
        <v>0.52</v>
      </c>
      <c r="G228" s="114">
        <v>2020</v>
      </c>
      <c r="H228" s="34"/>
      <c r="I228" s="24"/>
    </row>
    <row r="229" spans="1:9" ht="15.75" thickBot="1">
      <c r="A229" s="115" t="str">
        <f t="shared" si="3"/>
        <v>R12_CHN</v>
      </c>
      <c r="B229" s="2" t="s">
        <v>97</v>
      </c>
      <c r="C229" s="2" t="s">
        <v>197</v>
      </c>
      <c r="D229" t="s">
        <v>549</v>
      </c>
      <c r="E229" s="2" t="s">
        <v>16</v>
      </c>
      <c r="F229" s="3">
        <v>0.08</v>
      </c>
      <c r="G229" s="114">
        <v>2020</v>
      </c>
      <c r="H229" s="34"/>
      <c r="I229" s="24"/>
    </row>
    <row r="230" spans="1:9" ht="15.75" thickBot="1">
      <c r="A230" s="155" t="str">
        <f>A229</f>
        <v>R12_CHN</v>
      </c>
      <c r="B230" s="110" t="str">
        <f>B229</f>
        <v>NMC811_cathode_prep</v>
      </c>
      <c r="C230" s="117" t="s">
        <v>513</v>
      </c>
      <c r="D230" t="s">
        <v>549</v>
      </c>
      <c r="E230" s="110" t="str">
        <f>E229</f>
        <v>Mt/Mt</v>
      </c>
      <c r="F230" s="157">
        <v>0.13600000000000001</v>
      </c>
      <c r="G230" s="114">
        <v>2020</v>
      </c>
      <c r="H230" s="156"/>
      <c r="I230" s="71"/>
    </row>
    <row r="231" spans="1:9" ht="15.75" thickBot="1">
      <c r="A231" s="115" t="str">
        <f>A229</f>
        <v>R12_CHN</v>
      </c>
      <c r="B231" s="2" t="s">
        <v>97</v>
      </c>
      <c r="C231" s="2" t="s">
        <v>198</v>
      </c>
      <c r="D231" t="s">
        <v>549</v>
      </c>
      <c r="E231" s="2" t="s">
        <v>16</v>
      </c>
      <c r="F231" s="158">
        <f>0.34-F230</f>
        <v>0.20400000000000001</v>
      </c>
      <c r="G231" s="114">
        <v>2020</v>
      </c>
      <c r="H231" s="34"/>
      <c r="I231" s="24"/>
    </row>
    <row r="232" spans="1:9" ht="15.75" thickBot="1">
      <c r="A232" s="115" t="str">
        <f t="shared" si="3"/>
        <v>R12_CHN</v>
      </c>
      <c r="B232" s="2" t="s">
        <v>97</v>
      </c>
      <c r="C232" s="2" t="s">
        <v>227</v>
      </c>
      <c r="D232" t="s">
        <v>549</v>
      </c>
      <c r="E232" s="2" t="s">
        <v>23</v>
      </c>
      <c r="F232" s="3">
        <v>1.7587554372108061</v>
      </c>
      <c r="G232" s="114">
        <v>2020</v>
      </c>
      <c r="H232" s="34"/>
      <c r="I232" s="24"/>
    </row>
    <row r="233" spans="1:9" ht="15.75" thickBot="1">
      <c r="A233" s="115" t="str">
        <f t="shared" si="3"/>
        <v>R12_CHN</v>
      </c>
      <c r="B233" s="2" t="s">
        <v>97</v>
      </c>
      <c r="C233" s="2" t="s">
        <v>231</v>
      </c>
      <c r="D233" t="s">
        <v>549</v>
      </c>
      <c r="E233" s="2" t="s">
        <v>23</v>
      </c>
      <c r="F233" s="3">
        <v>0.11179986573184268</v>
      </c>
      <c r="G233" s="114">
        <v>2020</v>
      </c>
      <c r="H233" s="34"/>
      <c r="I233" s="24"/>
    </row>
    <row r="234" spans="1:9" ht="15.75" thickBot="1">
      <c r="A234" s="115" t="str">
        <f t="shared" si="3"/>
        <v>R12_CHN</v>
      </c>
      <c r="B234" s="2" t="s">
        <v>97</v>
      </c>
      <c r="C234" s="2" t="s">
        <v>199</v>
      </c>
      <c r="D234" t="s">
        <v>549</v>
      </c>
      <c r="E234" s="2" t="s">
        <v>29</v>
      </c>
      <c r="F234" s="3">
        <v>1</v>
      </c>
      <c r="G234" s="114">
        <v>2020</v>
      </c>
      <c r="H234" s="34"/>
      <c r="I234" s="24"/>
    </row>
    <row r="235" spans="1:9" ht="15.75" thickBot="1">
      <c r="A235" s="115" t="str">
        <f t="shared" si="3"/>
        <v>R12_CHN</v>
      </c>
      <c r="B235" s="2" t="s">
        <v>97</v>
      </c>
      <c r="C235" s="2" t="s">
        <v>39</v>
      </c>
      <c r="D235" t="s">
        <v>549</v>
      </c>
      <c r="E235" s="2" t="s">
        <v>40</v>
      </c>
      <c r="F235" s="3">
        <v>757.07</v>
      </c>
      <c r="G235" s="114">
        <v>2020</v>
      </c>
      <c r="H235" s="34"/>
      <c r="I235" s="24"/>
    </row>
    <row r="236" spans="1:9" ht="15.75" thickBot="1">
      <c r="A236" s="115" t="str">
        <f t="shared" si="3"/>
        <v>R12_CHN</v>
      </c>
      <c r="B236" s="2" t="s">
        <v>97</v>
      </c>
      <c r="C236" s="2" t="s">
        <v>41</v>
      </c>
      <c r="D236" t="s">
        <v>549</v>
      </c>
      <c r="E236" s="2" t="s">
        <v>40</v>
      </c>
      <c r="F236" s="3">
        <v>76.11</v>
      </c>
      <c r="G236" s="114">
        <v>2020</v>
      </c>
      <c r="H236" s="34"/>
      <c r="I236" s="24"/>
    </row>
    <row r="237" spans="1:9" ht="15.75" thickBot="1">
      <c r="A237" s="115" t="str">
        <f t="shared" si="3"/>
        <v>R12_CHN</v>
      </c>
      <c r="B237" s="2" t="s">
        <v>97</v>
      </c>
      <c r="C237" s="2" t="s">
        <v>42</v>
      </c>
      <c r="D237" t="s">
        <v>549</v>
      </c>
      <c r="E237" s="2" t="s">
        <v>40</v>
      </c>
      <c r="F237" s="3">
        <v>845.19</v>
      </c>
      <c r="G237" s="114">
        <v>2020</v>
      </c>
      <c r="H237" s="34"/>
      <c r="I237" s="24"/>
    </row>
    <row r="238" spans="1:9" ht="15.75" thickBot="1">
      <c r="A238" s="115" t="str">
        <f t="shared" si="3"/>
        <v>R12_CHN</v>
      </c>
      <c r="B238" s="2" t="s">
        <v>97</v>
      </c>
      <c r="C238" s="2" t="s">
        <v>35</v>
      </c>
      <c r="D238" t="s">
        <v>549</v>
      </c>
      <c r="E238" s="2" t="s">
        <v>36</v>
      </c>
      <c r="F238" s="121">
        <v>30</v>
      </c>
      <c r="G238" s="114">
        <v>2020</v>
      </c>
      <c r="H238" s="34"/>
      <c r="I238" s="24"/>
    </row>
    <row r="239" spans="1:9" ht="15.75" thickBot="1">
      <c r="A239" s="115" t="str">
        <f t="shared" si="3"/>
        <v>R12_CHN</v>
      </c>
      <c r="B239" s="19" t="s">
        <v>97</v>
      </c>
      <c r="C239" s="19" t="s">
        <v>37</v>
      </c>
      <c r="D239" t="s">
        <v>549</v>
      </c>
      <c r="E239" s="19" t="s">
        <v>38</v>
      </c>
      <c r="F239" s="21">
        <v>0.8</v>
      </c>
      <c r="G239" s="114">
        <v>2020</v>
      </c>
      <c r="H239" s="55"/>
      <c r="I239" s="29"/>
    </row>
    <row r="240" spans="1:9" ht="15.75" thickBot="1">
      <c r="A240" s="115" t="str">
        <f t="shared" si="3"/>
        <v>R12_CHN</v>
      </c>
      <c r="B240" s="2" t="s">
        <v>98</v>
      </c>
      <c r="C240" s="2" t="s">
        <v>195</v>
      </c>
      <c r="D240" t="s">
        <v>549</v>
      </c>
      <c r="E240" s="2" t="s">
        <v>16</v>
      </c>
      <c r="F240" s="3">
        <v>0.13</v>
      </c>
      <c r="G240" s="114">
        <v>2020</v>
      </c>
      <c r="H240" s="34"/>
      <c r="I240" s="24"/>
    </row>
    <row r="241" spans="1:9" ht="15.75" thickBot="1">
      <c r="A241" s="115" t="str">
        <f t="shared" si="3"/>
        <v>R12_CHN</v>
      </c>
      <c r="B241" s="2" t="s">
        <v>98</v>
      </c>
      <c r="C241" s="2" t="s">
        <v>196</v>
      </c>
      <c r="D241" t="s">
        <v>549</v>
      </c>
      <c r="E241" s="2" t="s">
        <v>16</v>
      </c>
      <c r="F241" s="3">
        <v>0.41</v>
      </c>
      <c r="G241" s="114">
        <v>2020</v>
      </c>
      <c r="H241" s="34"/>
      <c r="I241" s="24"/>
    </row>
    <row r="242" spans="1:9" ht="15.75" thickBot="1">
      <c r="A242" s="115" t="str">
        <f t="shared" si="3"/>
        <v>R12_CHN</v>
      </c>
      <c r="B242" s="2" t="s">
        <v>98</v>
      </c>
      <c r="C242" s="2" t="s">
        <v>197</v>
      </c>
      <c r="D242" t="s">
        <v>549</v>
      </c>
      <c r="E242" s="2" t="s">
        <v>16</v>
      </c>
      <c r="F242" s="3">
        <v>0.09</v>
      </c>
      <c r="G242" s="114">
        <v>2020</v>
      </c>
      <c r="H242" s="34"/>
      <c r="I242" s="24"/>
    </row>
    <row r="243" spans="1:9" ht="15.75" thickBot="1">
      <c r="A243" s="155" t="str">
        <f>A242</f>
        <v>R12_CHN</v>
      </c>
      <c r="B243" s="110" t="str">
        <f>B242</f>
        <v>NMC622_cathode_prep</v>
      </c>
      <c r="C243" s="117" t="s">
        <v>513</v>
      </c>
      <c r="D243" t="s">
        <v>549</v>
      </c>
      <c r="E243" s="110" t="str">
        <f>E242</f>
        <v>Mt/Mt</v>
      </c>
      <c r="F243" s="157">
        <v>0.14000000000000001</v>
      </c>
      <c r="G243" s="114">
        <v>2020</v>
      </c>
      <c r="H243" s="156"/>
      <c r="I243" s="71"/>
    </row>
    <row r="244" spans="1:9" ht="15.75" thickBot="1">
      <c r="A244" s="115" t="str">
        <f>A242</f>
        <v>R12_CHN</v>
      </c>
      <c r="B244" s="2" t="s">
        <v>98</v>
      </c>
      <c r="C244" s="2" t="s">
        <v>198</v>
      </c>
      <c r="D244" t="s">
        <v>549</v>
      </c>
      <c r="E244" s="2" t="s">
        <v>16</v>
      </c>
      <c r="F244" s="158">
        <f>0.38-F243</f>
        <v>0.24</v>
      </c>
      <c r="G244" s="114">
        <v>2020</v>
      </c>
      <c r="H244" s="34"/>
      <c r="I244" s="24"/>
    </row>
    <row r="245" spans="1:9" ht="15.75" thickBot="1">
      <c r="A245" s="115" t="str">
        <f t="shared" si="3"/>
        <v>R12_CHN</v>
      </c>
      <c r="B245" s="2" t="s">
        <v>98</v>
      </c>
      <c r="C245" s="2" t="s">
        <v>227</v>
      </c>
      <c r="D245" t="s">
        <v>549</v>
      </c>
      <c r="E245" s="2" t="s">
        <v>23</v>
      </c>
      <c r="F245" s="3">
        <v>1.8876175326141289</v>
      </c>
      <c r="G245" s="114">
        <v>2020</v>
      </c>
      <c r="H245" s="34"/>
      <c r="I245" s="24"/>
    </row>
    <row r="246" spans="1:9" ht="15.75" thickBot="1">
      <c r="A246" s="115" t="str">
        <f t="shared" si="3"/>
        <v>R12_CHN</v>
      </c>
      <c r="B246" s="2" t="s">
        <v>98</v>
      </c>
      <c r="C246" s="2" t="s">
        <v>231</v>
      </c>
      <c r="D246" t="s">
        <v>549</v>
      </c>
      <c r="E246" s="2" t="s">
        <v>23</v>
      </c>
      <c r="F246" s="3">
        <v>0.72701464010282058</v>
      </c>
      <c r="G246" s="114">
        <v>2020</v>
      </c>
      <c r="H246" s="34"/>
      <c r="I246" s="24"/>
    </row>
    <row r="247" spans="1:9" ht="15.75" thickBot="1">
      <c r="A247" s="115" t="str">
        <f t="shared" si="3"/>
        <v>R12_CHN</v>
      </c>
      <c r="B247" s="2" t="s">
        <v>98</v>
      </c>
      <c r="C247" s="2" t="s">
        <v>200</v>
      </c>
      <c r="D247" t="s">
        <v>549</v>
      </c>
      <c r="E247" s="2" t="s">
        <v>29</v>
      </c>
      <c r="F247" s="3">
        <v>1</v>
      </c>
      <c r="G247" s="114">
        <v>2020</v>
      </c>
      <c r="H247" s="34"/>
      <c r="I247" s="24"/>
    </row>
    <row r="248" spans="1:9" ht="15.75" thickBot="1">
      <c r="A248" s="115" t="str">
        <f t="shared" si="3"/>
        <v>R12_CHN</v>
      </c>
      <c r="B248" s="2" t="s">
        <v>98</v>
      </c>
      <c r="C248" s="2" t="s">
        <v>39</v>
      </c>
      <c r="D248" t="s">
        <v>549</v>
      </c>
      <c r="E248" s="2" t="s">
        <v>40</v>
      </c>
      <c r="F248" s="3">
        <v>656.86</v>
      </c>
      <c r="G248" s="114">
        <v>2020</v>
      </c>
      <c r="H248" s="34"/>
      <c r="I248" s="24"/>
    </row>
    <row r="249" spans="1:9" ht="15.75" thickBot="1">
      <c r="A249" s="115" t="str">
        <f t="shared" si="3"/>
        <v>R12_CHN</v>
      </c>
      <c r="B249" s="2" t="s">
        <v>98</v>
      </c>
      <c r="C249" s="2" t="s">
        <v>41</v>
      </c>
      <c r="D249" t="s">
        <v>549</v>
      </c>
      <c r="E249" s="2" t="s">
        <v>40</v>
      </c>
      <c r="F249" s="3">
        <v>66.03</v>
      </c>
      <c r="G249" s="114">
        <v>2020</v>
      </c>
      <c r="H249" s="34"/>
      <c r="I249" s="24"/>
    </row>
    <row r="250" spans="1:9" ht="15.75" thickBot="1">
      <c r="A250" s="115" t="str">
        <f t="shared" si="3"/>
        <v>R12_CHN</v>
      </c>
      <c r="B250" s="2" t="s">
        <v>98</v>
      </c>
      <c r="C250" s="2" t="s">
        <v>42</v>
      </c>
      <c r="D250" t="s">
        <v>549</v>
      </c>
      <c r="E250" s="2" t="s">
        <v>40</v>
      </c>
      <c r="F250" s="3">
        <v>733.31</v>
      </c>
      <c r="G250" s="114">
        <v>2020</v>
      </c>
      <c r="H250" s="34"/>
      <c r="I250" s="24"/>
    </row>
    <row r="251" spans="1:9" ht="15.75" thickBot="1">
      <c r="A251" s="115" t="str">
        <f t="shared" si="3"/>
        <v>R12_CHN</v>
      </c>
      <c r="B251" s="2" t="s">
        <v>98</v>
      </c>
      <c r="C251" s="2" t="s">
        <v>35</v>
      </c>
      <c r="D251" t="s">
        <v>549</v>
      </c>
      <c r="E251" s="2" t="s">
        <v>36</v>
      </c>
      <c r="F251" s="121">
        <v>30</v>
      </c>
      <c r="G251" s="114">
        <v>2020</v>
      </c>
      <c r="H251" s="34"/>
      <c r="I251" s="24"/>
    </row>
    <row r="252" spans="1:9" ht="15.75" thickBot="1">
      <c r="A252" s="115" t="str">
        <f t="shared" si="3"/>
        <v>R12_CHN</v>
      </c>
      <c r="B252" s="19" t="s">
        <v>98</v>
      </c>
      <c r="C252" s="19" t="s">
        <v>37</v>
      </c>
      <c r="D252" t="s">
        <v>549</v>
      </c>
      <c r="E252" s="19" t="s">
        <v>38</v>
      </c>
      <c r="F252" s="21">
        <v>0.8</v>
      </c>
      <c r="G252" s="114">
        <v>2020</v>
      </c>
      <c r="H252" s="55"/>
      <c r="I252" s="29"/>
    </row>
    <row r="253" spans="1:9" ht="15.75" thickBot="1">
      <c r="A253" s="115" t="str">
        <f t="shared" si="3"/>
        <v>R12_CHN</v>
      </c>
      <c r="B253" s="2" t="s">
        <v>99</v>
      </c>
      <c r="C253" s="2" t="s">
        <v>197</v>
      </c>
      <c r="D253" t="s">
        <v>549</v>
      </c>
      <c r="E253" s="2" t="s">
        <v>16</v>
      </c>
      <c r="F253" s="3">
        <v>0.19</v>
      </c>
      <c r="G253" s="114">
        <v>2020</v>
      </c>
      <c r="H253" s="34"/>
      <c r="I253" s="24"/>
    </row>
    <row r="254" spans="1:9" ht="15.75" thickBot="1">
      <c r="A254" s="155" t="str">
        <f>A253</f>
        <v>R12_CHN</v>
      </c>
      <c r="B254" s="110" t="str">
        <f>B253</f>
        <v>LFP_cathode_prep</v>
      </c>
      <c r="C254" s="117" t="s">
        <v>513</v>
      </c>
      <c r="D254" t="s">
        <v>549</v>
      </c>
      <c r="E254" s="110" t="str">
        <f>E253</f>
        <v>Mt/Mt</v>
      </c>
      <c r="F254" s="157">
        <f>0.155</f>
        <v>0.155</v>
      </c>
      <c r="G254" s="114">
        <v>2020</v>
      </c>
      <c r="H254" s="156"/>
      <c r="I254" s="71"/>
    </row>
    <row r="255" spans="1:9" ht="15.75" thickBot="1">
      <c r="A255" s="115" t="str">
        <f>A253</f>
        <v>R12_CHN</v>
      </c>
      <c r="B255" s="2" t="s">
        <v>99</v>
      </c>
      <c r="C255" s="2" t="s">
        <v>198</v>
      </c>
      <c r="D255" t="s">
        <v>549</v>
      </c>
      <c r="E255" s="2" t="s">
        <v>16</v>
      </c>
      <c r="F255" s="158">
        <f>0.81-F254</f>
        <v>0.65500000000000003</v>
      </c>
      <c r="G255" s="114">
        <v>2020</v>
      </c>
      <c r="H255" s="34"/>
      <c r="I255" s="24"/>
    </row>
    <row r="256" spans="1:9" ht="15.75" thickBot="1">
      <c r="A256" s="115" t="str">
        <f t="shared" si="3"/>
        <v>R12_CHN</v>
      </c>
      <c r="B256" s="2" t="s">
        <v>99</v>
      </c>
      <c r="C256" s="2" t="s">
        <v>227</v>
      </c>
      <c r="D256" t="s">
        <v>549</v>
      </c>
      <c r="E256" s="2" t="s">
        <v>23</v>
      </c>
      <c r="F256" s="3">
        <v>2.1468961414596381</v>
      </c>
      <c r="G256" s="114">
        <v>2020</v>
      </c>
      <c r="H256" s="34" t="s">
        <v>192</v>
      </c>
      <c r="I256" s="24"/>
    </row>
    <row r="257" spans="1:9" ht="15.75" thickBot="1">
      <c r="A257" s="115" t="str">
        <f t="shared" si="3"/>
        <v>R12_CHN</v>
      </c>
      <c r="B257" s="2" t="s">
        <v>99</v>
      </c>
      <c r="C257" s="2" t="s">
        <v>231</v>
      </c>
      <c r="D257" t="s">
        <v>549</v>
      </c>
      <c r="E257" s="2" t="s">
        <v>23</v>
      </c>
      <c r="F257" s="3">
        <v>0.8434135217302019</v>
      </c>
      <c r="G257" s="114">
        <v>2020</v>
      </c>
      <c r="H257" s="34" t="s">
        <v>192</v>
      </c>
      <c r="I257" s="24"/>
    </row>
    <row r="258" spans="1:9" ht="15.75" thickBot="1">
      <c r="A258" s="115" t="str">
        <f t="shared" ref="A258:A322" si="4">A257</f>
        <v>R12_CHN</v>
      </c>
      <c r="B258" s="2" t="s">
        <v>99</v>
      </c>
      <c r="C258" s="2" t="s">
        <v>201</v>
      </c>
      <c r="D258" t="s">
        <v>549</v>
      </c>
      <c r="E258" s="2" t="s">
        <v>29</v>
      </c>
      <c r="F258" s="3">
        <v>1</v>
      </c>
      <c r="G258" s="114">
        <v>2020</v>
      </c>
      <c r="H258" s="34"/>
      <c r="I258" s="24"/>
    </row>
    <row r="259" spans="1:9" ht="15.75" thickBot="1">
      <c r="A259" s="115" t="str">
        <f t="shared" si="4"/>
        <v>R12_CHN</v>
      </c>
      <c r="B259" s="2" t="s">
        <v>99</v>
      </c>
      <c r="C259" s="2" t="s">
        <v>39</v>
      </c>
      <c r="D259" t="s">
        <v>549</v>
      </c>
      <c r="E259" s="2" t="s">
        <v>40</v>
      </c>
      <c r="F259" s="3">
        <v>329.63</v>
      </c>
      <c r="G259" s="114">
        <v>2020</v>
      </c>
      <c r="H259" s="34"/>
      <c r="I259" s="24"/>
    </row>
    <row r="260" spans="1:9" ht="15.75" thickBot="1">
      <c r="A260" s="115" t="str">
        <f t="shared" si="4"/>
        <v>R12_CHN</v>
      </c>
      <c r="B260" s="2" t="s">
        <v>99</v>
      </c>
      <c r="C260" s="2" t="s">
        <v>41</v>
      </c>
      <c r="D260" t="s">
        <v>549</v>
      </c>
      <c r="E260" s="2" t="s">
        <v>40</v>
      </c>
      <c r="F260" s="3">
        <v>25.1</v>
      </c>
      <c r="G260" s="114">
        <v>2020</v>
      </c>
      <c r="H260" s="34"/>
      <c r="I260" s="24"/>
    </row>
    <row r="261" spans="1:9" ht="15.75" thickBot="1">
      <c r="A261" s="115" t="str">
        <f t="shared" si="4"/>
        <v>R12_CHN</v>
      </c>
      <c r="B261" s="2" t="s">
        <v>99</v>
      </c>
      <c r="C261" s="2" t="s">
        <v>42</v>
      </c>
      <c r="D261" t="s">
        <v>549</v>
      </c>
      <c r="E261" s="2" t="s">
        <v>40</v>
      </c>
      <c r="F261" s="3">
        <v>364.77</v>
      </c>
      <c r="G261" s="114">
        <v>2020</v>
      </c>
      <c r="H261" s="34"/>
      <c r="I261" s="24"/>
    </row>
    <row r="262" spans="1:9" ht="15.75" thickBot="1">
      <c r="A262" s="115" t="str">
        <f t="shared" si="4"/>
        <v>R12_CHN</v>
      </c>
      <c r="B262" s="2" t="s">
        <v>99</v>
      </c>
      <c r="C262" s="2" t="s">
        <v>35</v>
      </c>
      <c r="D262" t="s">
        <v>549</v>
      </c>
      <c r="E262" s="2" t="s">
        <v>36</v>
      </c>
      <c r="F262" s="121">
        <v>30</v>
      </c>
      <c r="G262" s="114">
        <v>2020</v>
      </c>
      <c r="H262" s="34"/>
      <c r="I262" s="24"/>
    </row>
    <row r="263" spans="1:9" ht="15.75" thickBot="1">
      <c r="A263" s="115" t="str">
        <f t="shared" si="4"/>
        <v>R12_CHN</v>
      </c>
      <c r="B263" s="19" t="s">
        <v>99</v>
      </c>
      <c r="C263" s="19" t="s">
        <v>37</v>
      </c>
      <c r="D263" t="s">
        <v>549</v>
      </c>
      <c r="E263" s="19" t="s">
        <v>38</v>
      </c>
      <c r="F263" s="21">
        <v>0.8</v>
      </c>
      <c r="G263" s="114">
        <v>2020</v>
      </c>
      <c r="H263" s="55"/>
      <c r="I263" s="29"/>
    </row>
    <row r="264" spans="1:9" ht="15.75" thickBot="1">
      <c r="A264" s="115" t="str">
        <f t="shared" si="4"/>
        <v>R12_CHN</v>
      </c>
      <c r="B264" s="2" t="s">
        <v>100</v>
      </c>
      <c r="C264" s="2" t="s">
        <v>195</v>
      </c>
      <c r="D264" t="s">
        <v>549</v>
      </c>
      <c r="E264" s="2" t="s">
        <v>16</v>
      </c>
      <c r="F264" s="3">
        <v>0.1</v>
      </c>
      <c r="G264" s="114">
        <v>2020</v>
      </c>
      <c r="H264" s="34"/>
      <c r="I264" s="24"/>
    </row>
    <row r="265" spans="1:9" ht="15.75" thickBot="1">
      <c r="A265" s="115" t="str">
        <f t="shared" si="4"/>
        <v>R12_CHN</v>
      </c>
      <c r="B265" s="2" t="s">
        <v>100</v>
      </c>
      <c r="C265" s="2" t="s">
        <v>196</v>
      </c>
      <c r="D265" t="s">
        <v>549</v>
      </c>
      <c r="E265" s="2" t="s">
        <v>16</v>
      </c>
      <c r="F265" s="3">
        <v>0.52</v>
      </c>
      <c r="G265" s="114">
        <v>2020</v>
      </c>
      <c r="H265" s="34"/>
      <c r="I265" s="24"/>
    </row>
    <row r="266" spans="1:9" ht="15.75" thickBot="1">
      <c r="A266" s="115" t="str">
        <f t="shared" si="4"/>
        <v>R12_CHN</v>
      </c>
      <c r="B266" s="2" t="s">
        <v>100</v>
      </c>
      <c r="C266" s="2" t="s">
        <v>197</v>
      </c>
      <c r="D266" t="s">
        <v>549</v>
      </c>
      <c r="E266" s="2" t="s">
        <v>16</v>
      </c>
      <c r="F266" s="3">
        <v>0.08</v>
      </c>
      <c r="G266" s="114">
        <v>2020</v>
      </c>
      <c r="H266" s="34"/>
      <c r="I266" s="24"/>
    </row>
    <row r="267" spans="1:9" ht="15.75" thickBot="1">
      <c r="A267" s="155" t="str">
        <f>A266</f>
        <v>R12_CHN</v>
      </c>
      <c r="B267" s="110" t="str">
        <f>B266</f>
        <v>NCA_cathode_prep</v>
      </c>
      <c r="C267" s="117" t="s">
        <v>513</v>
      </c>
      <c r="D267" t="s">
        <v>549</v>
      </c>
      <c r="E267" s="110" t="str">
        <f>E266</f>
        <v>Mt/Mt</v>
      </c>
      <c r="F267" s="157">
        <f>0.136</f>
        <v>0.13600000000000001</v>
      </c>
      <c r="G267" s="114">
        <v>2020</v>
      </c>
      <c r="H267" s="156"/>
      <c r="I267" s="71"/>
    </row>
    <row r="268" spans="1:9" ht="15.75" thickBot="1">
      <c r="A268" s="115" t="str">
        <f>A266</f>
        <v>R12_CHN</v>
      </c>
      <c r="B268" s="2" t="s">
        <v>100</v>
      </c>
      <c r="C268" s="2" t="s">
        <v>198</v>
      </c>
      <c r="D268" t="s">
        <v>549</v>
      </c>
      <c r="E268" s="2" t="s">
        <v>16</v>
      </c>
      <c r="F268" s="158">
        <f>0.3-F267</f>
        <v>0.16399999999999998</v>
      </c>
      <c r="G268" s="114">
        <v>2020</v>
      </c>
      <c r="H268" s="34"/>
      <c r="I268" s="24"/>
    </row>
    <row r="269" spans="1:9" ht="15.75" thickBot="1">
      <c r="A269" s="115" t="str">
        <f t="shared" si="4"/>
        <v>R12_CHN</v>
      </c>
      <c r="B269" s="2" t="s">
        <v>100</v>
      </c>
      <c r="C269" s="2" t="s">
        <v>227</v>
      </c>
      <c r="D269" t="s">
        <v>549</v>
      </c>
      <c r="E269" s="2" t="s">
        <v>23</v>
      </c>
      <c r="F269" s="3">
        <v>1.9957742638744747</v>
      </c>
      <c r="G269" s="114">
        <v>2020</v>
      </c>
      <c r="H269" s="34"/>
      <c r="I269" s="24"/>
    </row>
    <row r="270" spans="1:9" ht="15.75" thickBot="1">
      <c r="A270" s="115" t="str">
        <f t="shared" si="4"/>
        <v>R12_CHN</v>
      </c>
      <c r="B270" s="2" t="s">
        <v>100</v>
      </c>
      <c r="C270" s="2" t="s">
        <v>231</v>
      </c>
      <c r="D270" t="s">
        <v>549</v>
      </c>
      <c r="E270" s="2" t="s">
        <v>23</v>
      </c>
      <c r="F270" s="3">
        <v>0.76566949839471088</v>
      </c>
      <c r="G270" s="114">
        <v>2020</v>
      </c>
      <c r="H270" s="34"/>
      <c r="I270" s="24"/>
    </row>
    <row r="271" spans="1:9" ht="15.75" thickBot="1">
      <c r="A271" s="115" t="str">
        <f t="shared" si="4"/>
        <v>R12_CHN</v>
      </c>
      <c r="B271" s="2" t="s">
        <v>100</v>
      </c>
      <c r="C271" s="2" t="s">
        <v>202</v>
      </c>
      <c r="D271" t="s">
        <v>549</v>
      </c>
      <c r="E271" s="2" t="s">
        <v>29</v>
      </c>
      <c r="F271" s="3">
        <v>1</v>
      </c>
      <c r="G271" s="114">
        <v>2020</v>
      </c>
      <c r="H271" s="34"/>
      <c r="I271" s="24"/>
    </row>
    <row r="272" spans="1:9" ht="15.75" thickBot="1">
      <c r="A272" s="115" t="str">
        <f t="shared" si="4"/>
        <v>R12_CHN</v>
      </c>
      <c r="B272" s="2" t="s">
        <v>100</v>
      </c>
      <c r="C272" s="2" t="s">
        <v>39</v>
      </c>
      <c r="D272" t="s">
        <v>549</v>
      </c>
      <c r="E272" s="2" t="s">
        <v>40</v>
      </c>
      <c r="F272" s="3">
        <v>305.5</v>
      </c>
      <c r="G272" s="114">
        <v>2020</v>
      </c>
      <c r="H272" s="34"/>
      <c r="I272" s="24"/>
    </row>
    <row r="273" spans="1:12" ht="15.75" thickBot="1">
      <c r="A273" s="115" t="str">
        <f t="shared" si="4"/>
        <v>R12_CHN</v>
      </c>
      <c r="B273" s="2" t="s">
        <v>100</v>
      </c>
      <c r="C273" s="2" t="s">
        <v>41</v>
      </c>
      <c r="D273" t="s">
        <v>549</v>
      </c>
      <c r="E273" s="2" t="s">
        <v>40</v>
      </c>
      <c r="F273" s="3">
        <v>30.55</v>
      </c>
      <c r="G273" s="114">
        <v>2020</v>
      </c>
      <c r="H273" s="34"/>
      <c r="I273" s="24"/>
    </row>
    <row r="274" spans="1:12" ht="15.75" thickBot="1">
      <c r="A274" s="115" t="str">
        <f t="shared" si="4"/>
        <v>R12_CHN</v>
      </c>
      <c r="B274" s="2" t="s">
        <v>100</v>
      </c>
      <c r="C274" s="2" t="s">
        <v>42</v>
      </c>
      <c r="D274" t="s">
        <v>549</v>
      </c>
      <c r="E274" s="2" t="s">
        <v>40</v>
      </c>
      <c r="F274" s="3">
        <v>339.27</v>
      </c>
      <c r="G274" s="114">
        <v>2020</v>
      </c>
      <c r="H274" s="34"/>
      <c r="I274" s="24"/>
    </row>
    <row r="275" spans="1:12" ht="15.75" thickBot="1">
      <c r="A275" s="115" t="str">
        <f t="shared" si="4"/>
        <v>R12_CHN</v>
      </c>
      <c r="B275" s="2" t="s">
        <v>100</v>
      </c>
      <c r="C275" s="2" t="s">
        <v>35</v>
      </c>
      <c r="D275" t="s">
        <v>549</v>
      </c>
      <c r="E275" s="2" t="s">
        <v>36</v>
      </c>
      <c r="F275" s="121">
        <v>30</v>
      </c>
      <c r="G275" s="114">
        <v>2020</v>
      </c>
      <c r="H275" s="34"/>
      <c r="I275" s="24"/>
    </row>
    <row r="276" spans="1:12" ht="15.75" thickBot="1">
      <c r="A276" s="115" t="str">
        <f t="shared" si="4"/>
        <v>R12_CHN</v>
      </c>
      <c r="B276" s="19" t="s">
        <v>100</v>
      </c>
      <c r="C276" s="19" t="s">
        <v>37</v>
      </c>
      <c r="D276" t="s">
        <v>549</v>
      </c>
      <c r="E276" s="19" t="s">
        <v>38</v>
      </c>
      <c r="F276" s="21">
        <v>0.8</v>
      </c>
      <c r="G276" s="114">
        <v>2020</v>
      </c>
      <c r="H276" s="55"/>
      <c r="I276" s="29"/>
    </row>
    <row r="277" spans="1:12" ht="15.75" thickBot="1">
      <c r="A277" s="115" t="str">
        <f t="shared" si="4"/>
        <v>R12_CHN</v>
      </c>
      <c r="B277" s="2" t="s">
        <v>113</v>
      </c>
      <c r="C277" s="2" t="s">
        <v>203</v>
      </c>
      <c r="D277" t="s">
        <v>549</v>
      </c>
      <c r="E277" s="2" t="s">
        <v>204</v>
      </c>
      <c r="F277" s="15">
        <v>6.0501935212784786E-4</v>
      </c>
      <c r="G277" s="114">
        <v>2020</v>
      </c>
      <c r="H277" s="34" t="s">
        <v>241</v>
      </c>
      <c r="I277" s="24"/>
      <c r="K277" s="56"/>
      <c r="L277" s="56"/>
    </row>
    <row r="278" spans="1:12" ht="15.75" thickBot="1">
      <c r="A278" s="115" t="str">
        <f t="shared" si="4"/>
        <v>R12_CHN</v>
      </c>
      <c r="B278" s="2" t="s">
        <v>113</v>
      </c>
      <c r="C278" s="2" t="s">
        <v>205</v>
      </c>
      <c r="D278" t="s">
        <v>549</v>
      </c>
      <c r="E278" s="2" t="s">
        <v>204</v>
      </c>
      <c r="F278" s="15">
        <v>1.1704664270119141E-3</v>
      </c>
      <c r="G278" s="114">
        <v>2020</v>
      </c>
      <c r="H278" s="34" t="s">
        <v>241</v>
      </c>
      <c r="I278" s="24"/>
    </row>
    <row r="279" spans="1:12" ht="15.75" thickBot="1">
      <c r="A279" s="115" t="str">
        <f t="shared" si="4"/>
        <v>R12_CHN</v>
      </c>
      <c r="B279" s="2" t="s">
        <v>113</v>
      </c>
      <c r="C279" s="2" t="s">
        <v>227</v>
      </c>
      <c r="D279" t="s">
        <v>549</v>
      </c>
      <c r="E279" s="2" t="s">
        <v>206</v>
      </c>
      <c r="F279" s="56">
        <v>4.13E-3</v>
      </c>
      <c r="G279" s="114">
        <v>2020</v>
      </c>
      <c r="H279" s="34">
        <v>0.72038812785388107</v>
      </c>
      <c r="I279" s="24"/>
    </row>
    <row r="280" spans="1:12" ht="15.75" thickBot="1">
      <c r="A280" s="115" t="str">
        <f t="shared" si="4"/>
        <v>R12_CHN</v>
      </c>
      <c r="B280" s="2" t="s">
        <v>113</v>
      </c>
      <c r="C280" s="2" t="s">
        <v>231</v>
      </c>
      <c r="D280" t="s">
        <v>549</v>
      </c>
      <c r="E280" s="2" t="s">
        <v>206</v>
      </c>
      <c r="F280" s="56">
        <v>1.0478877214456668E-3</v>
      </c>
      <c r="G280" s="114">
        <v>2020</v>
      </c>
      <c r="H280" s="34"/>
      <c r="I280" s="24"/>
    </row>
    <row r="281" spans="1:12" ht="15.75" thickBot="1">
      <c r="A281" s="115" t="str">
        <f t="shared" si="4"/>
        <v>R12_CHN</v>
      </c>
      <c r="B281" s="2" t="s">
        <v>113</v>
      </c>
      <c r="C281" s="2" t="s">
        <v>207</v>
      </c>
      <c r="D281" t="s">
        <v>549</v>
      </c>
      <c r="E281" s="2" t="s">
        <v>114</v>
      </c>
      <c r="F281" s="3">
        <v>1</v>
      </c>
      <c r="G281" s="114">
        <v>2020</v>
      </c>
      <c r="H281" s="34"/>
      <c r="I281" s="24"/>
    </row>
    <row r="282" spans="1:12" ht="15.75" thickBot="1">
      <c r="A282" s="115" t="str">
        <f t="shared" si="4"/>
        <v>R12_CHN</v>
      </c>
      <c r="B282" s="2" t="s">
        <v>113</v>
      </c>
      <c r="C282" s="2" t="s">
        <v>39</v>
      </c>
      <c r="D282" t="s">
        <v>549</v>
      </c>
      <c r="E282" s="2" t="s">
        <v>106</v>
      </c>
      <c r="F282" s="3">
        <f>Table33523[[#This Row],[Column1]]*5</f>
        <v>66.7</v>
      </c>
      <c r="G282" s="114">
        <v>2020</v>
      </c>
      <c r="H282" s="34"/>
      <c r="I282" s="3">
        <v>13.34</v>
      </c>
    </row>
    <row r="283" spans="1:12" ht="15.75" thickBot="1">
      <c r="A283" s="115" t="str">
        <f t="shared" si="4"/>
        <v>R12_CHN</v>
      </c>
      <c r="B283" s="2" t="s">
        <v>113</v>
      </c>
      <c r="C283" s="2" t="s">
        <v>41</v>
      </c>
      <c r="D283" t="s">
        <v>549</v>
      </c>
      <c r="E283" s="2" t="s">
        <v>106</v>
      </c>
      <c r="F283" s="3">
        <f>Table33523[[#This Row],[Column1]]*5</f>
        <v>5.3000000000000007</v>
      </c>
      <c r="G283" s="114">
        <v>2020</v>
      </c>
      <c r="H283" s="34"/>
      <c r="I283" s="3">
        <v>1.06</v>
      </c>
    </row>
    <row r="284" spans="1:12" ht="15.75" thickBot="1">
      <c r="A284" s="115" t="str">
        <f t="shared" si="4"/>
        <v>R12_CHN</v>
      </c>
      <c r="B284" s="2" t="s">
        <v>113</v>
      </c>
      <c r="C284" s="2" t="s">
        <v>42</v>
      </c>
      <c r="D284" t="s">
        <v>549</v>
      </c>
      <c r="E284" s="2" t="s">
        <v>106</v>
      </c>
      <c r="F284" s="3">
        <f>Table33523[[#This Row],[Column1]]*5</f>
        <v>74.45</v>
      </c>
      <c r="G284" s="114">
        <v>2020</v>
      </c>
      <c r="H284" s="34"/>
      <c r="I284" s="3">
        <v>14.89</v>
      </c>
    </row>
    <row r="285" spans="1:12" ht="15.75" thickBot="1">
      <c r="A285" s="115" t="str">
        <f t="shared" si="4"/>
        <v>R12_CHN</v>
      </c>
      <c r="B285" s="2" t="s">
        <v>113</v>
      </c>
      <c r="C285" s="2" t="s">
        <v>35</v>
      </c>
      <c r="D285" t="s">
        <v>549</v>
      </c>
      <c r="E285" s="2" t="s">
        <v>36</v>
      </c>
      <c r="F285" s="121">
        <v>20</v>
      </c>
      <c r="G285" s="114">
        <v>2020</v>
      </c>
      <c r="H285" s="34"/>
      <c r="I285" s="24"/>
    </row>
    <row r="286" spans="1:12" ht="15.75" thickBot="1">
      <c r="A286" s="115" t="str">
        <f t="shared" si="4"/>
        <v>R12_CHN</v>
      </c>
      <c r="B286" s="19" t="s">
        <v>113</v>
      </c>
      <c r="C286" s="19" t="s">
        <v>37</v>
      </c>
      <c r="D286" t="s">
        <v>549</v>
      </c>
      <c r="E286" s="19" t="s">
        <v>38</v>
      </c>
      <c r="F286" s="21">
        <v>0.8</v>
      </c>
      <c r="G286" s="114">
        <v>2020</v>
      </c>
      <c r="H286" s="55"/>
      <c r="I286" s="29"/>
    </row>
    <row r="287" spans="1:12" ht="15.75" thickBot="1">
      <c r="A287" s="115" t="str">
        <f t="shared" si="4"/>
        <v>R12_CHN</v>
      </c>
      <c r="B287" s="2" t="s">
        <v>107</v>
      </c>
      <c r="C287" s="2" t="s">
        <v>208</v>
      </c>
      <c r="D287" t="s">
        <v>549</v>
      </c>
      <c r="E287" s="2" t="s">
        <v>204</v>
      </c>
      <c r="F287" s="15">
        <v>7.8876386501203742E-4</v>
      </c>
      <c r="G287" s="114">
        <v>2020</v>
      </c>
      <c r="H287" s="34" t="s">
        <v>241</v>
      </c>
      <c r="I287" s="58"/>
    </row>
    <row r="288" spans="1:12" ht="15.75" thickBot="1">
      <c r="A288" s="115" t="str">
        <f t="shared" si="4"/>
        <v>R12_CHN</v>
      </c>
      <c r="B288" s="2" t="s">
        <v>107</v>
      </c>
      <c r="C288" s="2" t="s">
        <v>209</v>
      </c>
      <c r="D288" t="s">
        <v>549</v>
      </c>
      <c r="E288" s="2" t="s">
        <v>204</v>
      </c>
      <c r="F288" s="15">
        <v>1.2708831494078014E-3</v>
      </c>
      <c r="G288" s="114">
        <v>2020</v>
      </c>
      <c r="H288" s="34" t="s">
        <v>241</v>
      </c>
      <c r="I288" s="24"/>
    </row>
    <row r="289" spans="1:9" ht="15.75" thickBot="1">
      <c r="A289" s="115" t="str">
        <f t="shared" si="4"/>
        <v>R12_CHN</v>
      </c>
      <c r="B289" s="2" t="s">
        <v>107</v>
      </c>
      <c r="C289" s="2" t="s">
        <v>227</v>
      </c>
      <c r="D289" t="s">
        <v>549</v>
      </c>
      <c r="E289" s="2" t="s">
        <v>206</v>
      </c>
      <c r="F289" s="123">
        <v>3.1097045773972607E-3</v>
      </c>
      <c r="G289" s="114">
        <v>2020</v>
      </c>
      <c r="H289" s="34"/>
      <c r="I289" s="24"/>
    </row>
    <row r="290" spans="1:9" ht="15.75" thickBot="1">
      <c r="A290" s="115" t="str">
        <f t="shared" si="4"/>
        <v>R12_CHN</v>
      </c>
      <c r="B290" s="2" t="s">
        <v>107</v>
      </c>
      <c r="C290" s="2" t="s">
        <v>231</v>
      </c>
      <c r="D290" t="s">
        <v>549</v>
      </c>
      <c r="E290" s="2" t="s">
        <v>206</v>
      </c>
      <c r="F290" s="123">
        <v>7.0223952123287697E-4</v>
      </c>
      <c r="G290" s="114">
        <v>2020</v>
      </c>
      <c r="H290" s="34"/>
      <c r="I290" s="24"/>
    </row>
    <row r="291" spans="1:9" ht="15.75" thickBot="1">
      <c r="A291" s="115" t="str">
        <f t="shared" si="4"/>
        <v>R12_CHN</v>
      </c>
      <c r="B291" s="2" t="s">
        <v>107</v>
      </c>
      <c r="C291" s="2" t="s">
        <v>210</v>
      </c>
      <c r="D291" t="s">
        <v>549</v>
      </c>
      <c r="E291" s="2" t="s">
        <v>114</v>
      </c>
      <c r="F291" s="3">
        <v>1</v>
      </c>
      <c r="G291" s="114">
        <v>2020</v>
      </c>
      <c r="H291" s="34"/>
      <c r="I291" s="24"/>
    </row>
    <row r="292" spans="1:9" ht="15.75" thickBot="1">
      <c r="A292" s="115" t="str">
        <f t="shared" si="4"/>
        <v>R12_CHN</v>
      </c>
      <c r="B292" s="2" t="s">
        <v>107</v>
      </c>
      <c r="C292" s="2" t="s">
        <v>39</v>
      </c>
      <c r="D292" t="s">
        <v>549</v>
      </c>
      <c r="E292" s="2" t="s">
        <v>106</v>
      </c>
      <c r="F292" s="3">
        <f>Table33523[[#This Row],[Column1]]*5</f>
        <v>66.7</v>
      </c>
      <c r="G292" s="114">
        <v>2020</v>
      </c>
      <c r="H292" s="34"/>
      <c r="I292" s="3">
        <v>13.34</v>
      </c>
    </row>
    <row r="293" spans="1:9" ht="15.75" thickBot="1">
      <c r="A293" s="115" t="str">
        <f t="shared" si="4"/>
        <v>R12_CHN</v>
      </c>
      <c r="B293" s="2" t="s">
        <v>107</v>
      </c>
      <c r="C293" s="2" t="s">
        <v>41</v>
      </c>
      <c r="D293" t="s">
        <v>549</v>
      </c>
      <c r="E293" s="2" t="s">
        <v>106</v>
      </c>
      <c r="F293" s="3">
        <f>Table33523[[#This Row],[Column1]]*5</f>
        <v>6.7</v>
      </c>
      <c r="G293" s="114">
        <v>2020</v>
      </c>
      <c r="H293" s="34"/>
      <c r="I293" s="3">
        <v>1.34</v>
      </c>
    </row>
    <row r="294" spans="1:9" ht="15.75" thickBot="1">
      <c r="A294" s="115" t="str">
        <f t="shared" si="4"/>
        <v>R12_CHN</v>
      </c>
      <c r="B294" s="2" t="s">
        <v>107</v>
      </c>
      <c r="C294" s="2" t="s">
        <v>42</v>
      </c>
      <c r="D294" t="s">
        <v>549</v>
      </c>
      <c r="E294" s="2" t="s">
        <v>106</v>
      </c>
      <c r="F294" s="3">
        <f>Table33523[[#This Row],[Column1]]*5</f>
        <v>74.45</v>
      </c>
      <c r="G294" s="114">
        <v>2020</v>
      </c>
      <c r="H294" s="34"/>
      <c r="I294" s="3">
        <v>14.89</v>
      </c>
    </row>
    <row r="295" spans="1:9" ht="15.75" thickBot="1">
      <c r="A295" s="115" t="str">
        <f t="shared" si="4"/>
        <v>R12_CHN</v>
      </c>
      <c r="B295" s="2" t="s">
        <v>107</v>
      </c>
      <c r="C295" s="2" t="s">
        <v>35</v>
      </c>
      <c r="D295" t="s">
        <v>549</v>
      </c>
      <c r="E295" s="2" t="s">
        <v>36</v>
      </c>
      <c r="F295" s="121">
        <v>20</v>
      </c>
      <c r="G295" s="114">
        <v>2020</v>
      </c>
      <c r="H295" s="34"/>
      <c r="I295" s="24"/>
    </row>
    <row r="296" spans="1:9" ht="15.75" thickBot="1">
      <c r="A296" s="115" t="str">
        <f t="shared" si="4"/>
        <v>R12_CHN</v>
      </c>
      <c r="B296" s="19" t="s">
        <v>107</v>
      </c>
      <c r="C296" s="19" t="s">
        <v>37</v>
      </c>
      <c r="D296" t="s">
        <v>549</v>
      </c>
      <c r="E296" s="19" t="s">
        <v>38</v>
      </c>
      <c r="F296" s="21">
        <v>0.8</v>
      </c>
      <c r="G296" s="114">
        <v>2020</v>
      </c>
      <c r="H296" s="55"/>
      <c r="I296" s="29"/>
    </row>
    <row r="297" spans="1:9" ht="15.75" thickBot="1">
      <c r="A297" s="115" t="str">
        <f t="shared" si="4"/>
        <v>R12_CHN</v>
      </c>
      <c r="B297" s="2" t="s">
        <v>108</v>
      </c>
      <c r="C297" s="2" t="s">
        <v>211</v>
      </c>
      <c r="D297" t="s">
        <v>549</v>
      </c>
      <c r="E297" s="2" t="s">
        <v>204</v>
      </c>
      <c r="F297" s="15">
        <v>7.0101328221278917E-4</v>
      </c>
      <c r="G297" s="114">
        <v>2020</v>
      </c>
      <c r="H297" s="34" t="s">
        <v>241</v>
      </c>
      <c r="I297" s="58"/>
    </row>
    <row r="298" spans="1:9" ht="15.75" thickBot="1">
      <c r="A298" s="115" t="str">
        <f t="shared" si="4"/>
        <v>R12_CHN</v>
      </c>
      <c r="B298" s="2" t="s">
        <v>108</v>
      </c>
      <c r="C298" s="2" t="s">
        <v>212</v>
      </c>
      <c r="D298" t="s">
        <v>549</v>
      </c>
      <c r="E298" s="2" t="s">
        <v>204</v>
      </c>
      <c r="F298" s="15">
        <v>1.5955320872700718E-3</v>
      </c>
      <c r="G298" s="114">
        <v>2020</v>
      </c>
      <c r="H298" s="34" t="s">
        <v>241</v>
      </c>
      <c r="I298" s="24"/>
    </row>
    <row r="299" spans="1:9" ht="15.75" thickBot="1">
      <c r="A299" s="115" t="str">
        <f t="shared" si="4"/>
        <v>R12_CHN</v>
      </c>
      <c r="B299" s="2" t="s">
        <v>108</v>
      </c>
      <c r="C299" s="2" t="s">
        <v>227</v>
      </c>
      <c r="D299" t="s">
        <v>549</v>
      </c>
      <c r="E299" s="2" t="s">
        <v>206</v>
      </c>
      <c r="F299" s="15">
        <v>3.4284701183789957E-3</v>
      </c>
      <c r="G299" s="114">
        <v>2020</v>
      </c>
      <c r="H299" s="34" t="s">
        <v>192</v>
      </c>
      <c r="I299" s="24"/>
    </row>
    <row r="300" spans="1:9" ht="15.75" thickBot="1">
      <c r="A300" s="115" t="str">
        <f t="shared" si="4"/>
        <v>R12_CHN</v>
      </c>
      <c r="B300" s="2" t="s">
        <v>108</v>
      </c>
      <c r="C300" s="2" t="s">
        <v>231</v>
      </c>
      <c r="D300" t="s">
        <v>549</v>
      </c>
      <c r="E300" s="2" t="s">
        <v>206</v>
      </c>
      <c r="F300" s="15">
        <v>7.0310283025114154E-4</v>
      </c>
      <c r="G300" s="114">
        <v>2020</v>
      </c>
      <c r="H300" s="34" t="s">
        <v>192</v>
      </c>
      <c r="I300" s="24"/>
    </row>
    <row r="301" spans="1:9" ht="15.75" thickBot="1">
      <c r="A301" s="115" t="str">
        <f t="shared" si="4"/>
        <v>R12_CHN</v>
      </c>
      <c r="B301" s="2" t="s">
        <v>108</v>
      </c>
      <c r="C301" s="2" t="s">
        <v>213</v>
      </c>
      <c r="D301" t="s">
        <v>549</v>
      </c>
      <c r="E301" s="2" t="s">
        <v>114</v>
      </c>
      <c r="F301" s="3">
        <v>1</v>
      </c>
      <c r="G301" s="114">
        <v>2020</v>
      </c>
      <c r="H301" s="34"/>
      <c r="I301" s="24"/>
    </row>
    <row r="302" spans="1:9" ht="15.75" thickBot="1">
      <c r="A302" s="115" t="str">
        <f t="shared" si="4"/>
        <v>R12_CHN</v>
      </c>
      <c r="B302" s="2" t="s">
        <v>108</v>
      </c>
      <c r="C302" s="2" t="s">
        <v>39</v>
      </c>
      <c r="D302" t="s">
        <v>549</v>
      </c>
      <c r="E302" s="2" t="s">
        <v>106</v>
      </c>
      <c r="F302" s="3">
        <f>Table33523[[#This Row],[Column1]]*5</f>
        <v>69.5</v>
      </c>
      <c r="G302" s="114">
        <v>2020</v>
      </c>
      <c r="H302" s="34"/>
      <c r="I302" s="3">
        <v>13.9</v>
      </c>
    </row>
    <row r="303" spans="1:9" ht="15.75" thickBot="1">
      <c r="A303" s="115" t="str">
        <f t="shared" si="4"/>
        <v>R12_CHN</v>
      </c>
      <c r="B303" s="2" t="s">
        <v>108</v>
      </c>
      <c r="C303" s="2" t="s">
        <v>41</v>
      </c>
      <c r="D303" t="s">
        <v>549</v>
      </c>
      <c r="E303" s="2" t="s">
        <v>106</v>
      </c>
      <c r="F303" s="3">
        <f>Table33523[[#This Row],[Column1]]*5</f>
        <v>5.3000000000000007</v>
      </c>
      <c r="G303" s="114">
        <v>2020</v>
      </c>
      <c r="H303" s="34"/>
      <c r="I303" s="3">
        <v>1.06</v>
      </c>
    </row>
    <row r="304" spans="1:9" ht="15.75" thickBot="1">
      <c r="A304" s="115" t="str">
        <f t="shared" si="4"/>
        <v>R12_CHN</v>
      </c>
      <c r="B304" s="2" t="s">
        <v>108</v>
      </c>
      <c r="C304" s="2" t="s">
        <v>42</v>
      </c>
      <c r="D304" t="s">
        <v>549</v>
      </c>
      <c r="E304" s="2" t="s">
        <v>106</v>
      </c>
      <c r="F304" s="3">
        <f>Table33523[[#This Row],[Column1]]*5</f>
        <v>76.900000000000006</v>
      </c>
      <c r="G304" s="114">
        <v>2020</v>
      </c>
      <c r="H304" s="34"/>
      <c r="I304" s="3">
        <v>15.38</v>
      </c>
    </row>
    <row r="305" spans="1:9" ht="15.75" thickBot="1">
      <c r="A305" s="115" t="str">
        <f t="shared" si="4"/>
        <v>R12_CHN</v>
      </c>
      <c r="B305" s="2" t="s">
        <v>108</v>
      </c>
      <c r="C305" s="2" t="s">
        <v>35</v>
      </c>
      <c r="D305" t="s">
        <v>549</v>
      </c>
      <c r="E305" s="2" t="s">
        <v>36</v>
      </c>
      <c r="F305" s="121">
        <v>30</v>
      </c>
      <c r="G305" s="114">
        <v>2020</v>
      </c>
      <c r="H305" s="34"/>
      <c r="I305" s="24"/>
    </row>
    <row r="306" spans="1:9" ht="15.75" thickBot="1">
      <c r="A306" s="115" t="str">
        <f t="shared" si="4"/>
        <v>R12_CHN</v>
      </c>
      <c r="B306" s="19" t="s">
        <v>108</v>
      </c>
      <c r="C306" s="19" t="s">
        <v>37</v>
      </c>
      <c r="D306" t="s">
        <v>549</v>
      </c>
      <c r="E306" s="19" t="s">
        <v>38</v>
      </c>
      <c r="F306" s="21">
        <v>0.8</v>
      </c>
      <c r="G306" s="114">
        <v>2020</v>
      </c>
      <c r="H306" s="55"/>
      <c r="I306" s="29"/>
    </row>
    <row r="307" spans="1:9" ht="15.75" thickBot="1">
      <c r="A307" s="115" t="str">
        <f t="shared" si="4"/>
        <v>R12_CHN</v>
      </c>
      <c r="B307" s="2" t="s">
        <v>109</v>
      </c>
      <c r="C307" s="2" t="s">
        <v>214</v>
      </c>
      <c r="D307" t="s">
        <v>549</v>
      </c>
      <c r="E307" s="2" t="s">
        <v>204</v>
      </c>
      <c r="F307" s="15">
        <v>7.8561911997264129E-4</v>
      </c>
      <c r="G307" s="114">
        <v>2020</v>
      </c>
      <c r="H307" s="34" t="s">
        <v>241</v>
      </c>
      <c r="I307" s="24"/>
    </row>
    <row r="308" spans="1:9" ht="15.75" thickBot="1">
      <c r="A308" s="115" t="str">
        <f t="shared" si="4"/>
        <v>R12_CHN</v>
      </c>
      <c r="B308" s="2" t="s">
        <v>109</v>
      </c>
      <c r="C308" s="2" t="s">
        <v>215</v>
      </c>
      <c r="D308" t="s">
        <v>549</v>
      </c>
      <c r="E308" s="2" t="s">
        <v>204</v>
      </c>
      <c r="F308" s="15">
        <v>1.2025391421641386E-3</v>
      </c>
      <c r="G308" s="114">
        <v>2020</v>
      </c>
      <c r="H308" s="34" t="s">
        <v>241</v>
      </c>
      <c r="I308" s="24"/>
    </row>
    <row r="309" spans="1:9" ht="15.75" thickBot="1">
      <c r="A309" s="115" t="str">
        <f t="shared" si="4"/>
        <v>R12_CHN</v>
      </c>
      <c r="B309" s="2" t="s">
        <v>109</v>
      </c>
      <c r="C309" s="2" t="s">
        <v>227</v>
      </c>
      <c r="D309" t="s">
        <v>549</v>
      </c>
      <c r="E309" s="2" t="s">
        <v>206</v>
      </c>
      <c r="F309" s="15">
        <v>3.1110726159817351E-3</v>
      </c>
      <c r="G309" s="114">
        <v>2020</v>
      </c>
      <c r="H309" s="34"/>
      <c r="I309" s="24"/>
    </row>
    <row r="310" spans="1:9" ht="15.75" thickBot="1">
      <c r="A310" s="115" t="str">
        <f t="shared" si="4"/>
        <v>R12_CHN</v>
      </c>
      <c r="B310" s="2" t="s">
        <v>109</v>
      </c>
      <c r="C310" s="2" t="s">
        <v>231</v>
      </c>
      <c r="D310" t="s">
        <v>549</v>
      </c>
      <c r="E310" s="2" t="s">
        <v>206</v>
      </c>
      <c r="F310" s="15">
        <v>7.0254845433789955E-4</v>
      </c>
      <c r="G310" s="114">
        <v>2020</v>
      </c>
      <c r="H310" s="34"/>
      <c r="I310" s="24"/>
    </row>
    <row r="311" spans="1:9" ht="15.75" thickBot="1">
      <c r="A311" s="115" t="str">
        <f t="shared" si="4"/>
        <v>R12_CHN</v>
      </c>
      <c r="B311" s="2" t="s">
        <v>109</v>
      </c>
      <c r="C311" s="2" t="s">
        <v>216</v>
      </c>
      <c r="D311" t="s">
        <v>549</v>
      </c>
      <c r="E311" s="2" t="s">
        <v>114</v>
      </c>
      <c r="F311" s="3">
        <v>1</v>
      </c>
      <c r="G311" s="114">
        <v>2020</v>
      </c>
      <c r="H311" s="34"/>
      <c r="I311" s="24"/>
    </row>
    <row r="312" spans="1:9" ht="15.75" thickBot="1">
      <c r="A312" s="115" t="str">
        <f t="shared" si="4"/>
        <v>R12_CHN</v>
      </c>
      <c r="B312" s="2" t="s">
        <v>109</v>
      </c>
      <c r="C312" s="2" t="s">
        <v>39</v>
      </c>
      <c r="D312" t="s">
        <v>549</v>
      </c>
      <c r="E312" s="2" t="s">
        <v>106</v>
      </c>
      <c r="F312" s="3">
        <f>Table33523[[#This Row],[Column1]]*5</f>
        <v>67.05</v>
      </c>
      <c r="G312" s="114">
        <v>2020</v>
      </c>
      <c r="H312" s="34"/>
      <c r="I312" s="3">
        <v>13.41</v>
      </c>
    </row>
    <row r="313" spans="1:9" ht="15.75" thickBot="1">
      <c r="A313" s="115" t="str">
        <f t="shared" si="4"/>
        <v>R12_CHN</v>
      </c>
      <c r="B313" s="2" t="s">
        <v>109</v>
      </c>
      <c r="C313" s="2" t="s">
        <v>41</v>
      </c>
      <c r="D313" t="s">
        <v>549</v>
      </c>
      <c r="E313" s="2" t="s">
        <v>106</v>
      </c>
      <c r="F313" s="3">
        <f>Table33523[[#This Row],[Column1]]*5</f>
        <v>6.7</v>
      </c>
      <c r="G313" s="114">
        <v>2020</v>
      </c>
      <c r="H313" s="34"/>
      <c r="I313" s="3">
        <v>1.34</v>
      </c>
    </row>
    <row r="314" spans="1:9" ht="15.75" thickBot="1">
      <c r="A314" s="115" t="str">
        <f t="shared" si="4"/>
        <v>R12_CHN</v>
      </c>
      <c r="B314" s="2" t="s">
        <v>109</v>
      </c>
      <c r="C314" s="2" t="s">
        <v>42</v>
      </c>
      <c r="D314" t="s">
        <v>549</v>
      </c>
      <c r="E314" s="2" t="s">
        <v>106</v>
      </c>
      <c r="F314" s="3">
        <f>Table33523[[#This Row],[Column1]]*5</f>
        <v>74.45</v>
      </c>
      <c r="G314" s="114">
        <v>2020</v>
      </c>
      <c r="H314" s="34"/>
      <c r="I314" s="3">
        <v>14.89</v>
      </c>
    </row>
    <row r="315" spans="1:9" ht="15.75" thickBot="1">
      <c r="A315" s="115" t="str">
        <f t="shared" si="4"/>
        <v>R12_CHN</v>
      </c>
      <c r="B315" s="2" t="s">
        <v>109</v>
      </c>
      <c r="C315" s="2" t="s">
        <v>35</v>
      </c>
      <c r="D315" t="s">
        <v>549</v>
      </c>
      <c r="E315" s="2" t="s">
        <v>36</v>
      </c>
      <c r="F315" s="121">
        <v>20</v>
      </c>
      <c r="G315" s="114">
        <v>2020</v>
      </c>
      <c r="H315" s="34"/>
      <c r="I315" s="24"/>
    </row>
    <row r="316" spans="1:9" ht="15.75" thickBot="1">
      <c r="A316" s="115" t="str">
        <f t="shared" si="4"/>
        <v>R12_CHN</v>
      </c>
      <c r="B316" s="19" t="s">
        <v>109</v>
      </c>
      <c r="C316" s="19" t="s">
        <v>37</v>
      </c>
      <c r="D316" t="s">
        <v>549</v>
      </c>
      <c r="E316" s="19" t="s">
        <v>38</v>
      </c>
      <c r="F316" s="21">
        <v>0.8</v>
      </c>
      <c r="G316" s="114">
        <v>2020</v>
      </c>
      <c r="H316" s="55"/>
      <c r="I316" s="29"/>
    </row>
    <row r="317" spans="1:9" ht="15.75" thickBot="1">
      <c r="A317" s="115" t="str">
        <f t="shared" si="4"/>
        <v>R12_CHN</v>
      </c>
      <c r="B317" s="19" t="s">
        <v>217</v>
      </c>
      <c r="C317" s="19" t="s">
        <v>218</v>
      </c>
      <c r="D317" t="s">
        <v>549</v>
      </c>
      <c r="E317" s="19" t="s">
        <v>29</v>
      </c>
      <c r="F317" s="21">
        <v>1</v>
      </c>
      <c r="G317" s="114">
        <v>2020</v>
      </c>
      <c r="H317" s="34"/>
      <c r="I317" s="24"/>
    </row>
    <row r="318" spans="1:9" ht="15.75" thickBot="1">
      <c r="A318" s="115" t="str">
        <f t="shared" si="4"/>
        <v>R12_CHN</v>
      </c>
      <c r="B318" s="124" t="s">
        <v>101</v>
      </c>
      <c r="C318" s="2" t="s">
        <v>532</v>
      </c>
      <c r="D318" t="s">
        <v>549</v>
      </c>
      <c r="E318" s="2" t="s">
        <v>16</v>
      </c>
      <c r="F318" s="125">
        <v>113.4</v>
      </c>
      <c r="G318" s="114">
        <v>2020</v>
      </c>
      <c r="H318" s="43"/>
      <c r="I318" s="44"/>
    </row>
    <row r="319" spans="1:9" ht="15.75" thickBot="1">
      <c r="A319" s="115" t="str">
        <f t="shared" si="4"/>
        <v>R12_CHN</v>
      </c>
      <c r="B319" s="124" t="s">
        <v>101</v>
      </c>
      <c r="C319" s="2" t="s">
        <v>118</v>
      </c>
      <c r="D319" t="s">
        <v>549</v>
      </c>
      <c r="E319" s="2" t="s">
        <v>16</v>
      </c>
      <c r="F319" s="125">
        <v>2.64</v>
      </c>
      <c r="G319" s="114">
        <v>2020</v>
      </c>
      <c r="H319" s="43"/>
      <c r="I319" s="44"/>
    </row>
    <row r="320" spans="1:9" ht="15.75" thickBot="1">
      <c r="A320" s="115" t="str">
        <f t="shared" si="4"/>
        <v>R12_CHN</v>
      </c>
      <c r="B320" s="124" t="s">
        <v>101</v>
      </c>
      <c r="C320" s="2" t="s">
        <v>195</v>
      </c>
      <c r="D320" t="s">
        <v>549</v>
      </c>
      <c r="E320" s="2" t="s">
        <v>16</v>
      </c>
      <c r="F320" s="126">
        <v>4.0000000000000002E-4</v>
      </c>
      <c r="G320" s="114">
        <v>2020</v>
      </c>
      <c r="H320" s="43"/>
      <c r="I320" s="44"/>
    </row>
    <row r="321" spans="1:9" ht="15.75" thickBot="1">
      <c r="A321" s="115" t="str">
        <f t="shared" si="4"/>
        <v>R12_CHN</v>
      </c>
      <c r="B321" s="124" t="s">
        <v>101</v>
      </c>
      <c r="C321" s="2" t="s">
        <v>119</v>
      </c>
      <c r="D321" t="s">
        <v>549</v>
      </c>
      <c r="E321" s="2" t="s">
        <v>16</v>
      </c>
      <c r="F321" s="125">
        <v>101.4</v>
      </c>
      <c r="G321" s="114">
        <v>2020</v>
      </c>
      <c r="H321" s="43"/>
      <c r="I321" s="44"/>
    </row>
    <row r="322" spans="1:9" ht="15.75" thickBot="1">
      <c r="A322" s="115" t="str">
        <f t="shared" si="4"/>
        <v>R12_CHN</v>
      </c>
      <c r="B322" s="124" t="s">
        <v>101</v>
      </c>
      <c r="C322" s="2" t="s">
        <v>228</v>
      </c>
      <c r="D322" t="s">
        <v>549</v>
      </c>
      <c r="E322" s="2" t="s">
        <v>23</v>
      </c>
      <c r="F322" s="126">
        <f>828.1*0.278/8760</f>
        <v>2.6279885844748864E-2</v>
      </c>
      <c r="G322" s="114">
        <v>2020</v>
      </c>
      <c r="H322" s="43"/>
      <c r="I322" s="44"/>
    </row>
    <row r="323" spans="1:9" ht="15.75" thickBot="1">
      <c r="A323" s="115" t="str">
        <f t="shared" ref="A323:A329" si="5">A322</f>
        <v>R12_CHN</v>
      </c>
      <c r="B323" s="124" t="s">
        <v>101</v>
      </c>
      <c r="C323" s="2" t="s">
        <v>227</v>
      </c>
      <c r="D323" t="s">
        <v>549</v>
      </c>
      <c r="E323" s="2" t="s">
        <v>23</v>
      </c>
      <c r="F323" s="126">
        <f>13971.6*0.278/8760</f>
        <v>0.44339095890410962</v>
      </c>
      <c r="G323" s="114">
        <v>2020</v>
      </c>
      <c r="H323" s="43"/>
      <c r="I323" s="44"/>
    </row>
    <row r="324" spans="1:9" ht="15.75" thickBot="1">
      <c r="A324" s="115" t="str">
        <f t="shared" si="5"/>
        <v>R12_CHN</v>
      </c>
      <c r="B324" s="124" t="s">
        <v>101</v>
      </c>
      <c r="C324" s="2" t="s">
        <v>178</v>
      </c>
      <c r="D324" t="s">
        <v>549</v>
      </c>
      <c r="E324" s="2" t="s">
        <v>29</v>
      </c>
      <c r="F324" s="126">
        <v>1</v>
      </c>
      <c r="G324" s="114">
        <v>2020</v>
      </c>
      <c r="H324" s="43"/>
      <c r="I324" s="44"/>
    </row>
    <row r="325" spans="1:9" ht="15.75" thickBot="1">
      <c r="A325" s="115" t="str">
        <f t="shared" si="5"/>
        <v>R12_CHN</v>
      </c>
      <c r="B325" s="124" t="s">
        <v>101</v>
      </c>
      <c r="C325" s="2" t="s">
        <v>39</v>
      </c>
      <c r="D325" t="s">
        <v>549</v>
      </c>
      <c r="E325" s="2" t="s">
        <v>40</v>
      </c>
      <c r="F325" s="125">
        <v>186</v>
      </c>
      <c r="G325" s="114">
        <v>2020</v>
      </c>
      <c r="H325" s="43"/>
      <c r="I325" s="44"/>
    </row>
    <row r="326" spans="1:9" ht="15.75" thickBot="1">
      <c r="A326" s="115" t="str">
        <f t="shared" si="5"/>
        <v>R12_CHN</v>
      </c>
      <c r="B326" s="124" t="s">
        <v>101</v>
      </c>
      <c r="C326" s="2" t="s">
        <v>41</v>
      </c>
      <c r="D326" t="s">
        <v>549</v>
      </c>
      <c r="E326" s="2" t="s">
        <v>40</v>
      </c>
      <c r="F326" s="125">
        <v>1752</v>
      </c>
      <c r="G326" s="114">
        <v>2020</v>
      </c>
      <c r="H326" s="43"/>
      <c r="I326" s="44"/>
    </row>
    <row r="327" spans="1:9" ht="15.75" thickBot="1">
      <c r="A327" s="115" t="str">
        <f t="shared" si="5"/>
        <v>R12_CHN</v>
      </c>
      <c r="B327" s="124" t="s">
        <v>101</v>
      </c>
      <c r="C327" s="2" t="s">
        <v>42</v>
      </c>
      <c r="D327" t="s">
        <v>549</v>
      </c>
      <c r="E327" s="2" t="s">
        <v>40</v>
      </c>
      <c r="F327" s="125">
        <v>986</v>
      </c>
      <c r="G327" s="114">
        <v>2020</v>
      </c>
      <c r="H327" s="43"/>
      <c r="I327" s="44"/>
    </row>
    <row r="328" spans="1:9" ht="15.75" thickBot="1">
      <c r="A328" s="115" t="str">
        <f t="shared" si="5"/>
        <v>R12_CHN</v>
      </c>
      <c r="B328" s="124" t="s">
        <v>101</v>
      </c>
      <c r="C328" s="2" t="s">
        <v>35</v>
      </c>
      <c r="D328" t="s">
        <v>549</v>
      </c>
      <c r="E328" s="2" t="s">
        <v>36</v>
      </c>
      <c r="F328" s="162">
        <v>30</v>
      </c>
      <c r="G328" s="114">
        <v>2020</v>
      </c>
      <c r="H328" s="43"/>
      <c r="I328" s="44"/>
    </row>
    <row r="329" spans="1:9">
      <c r="A329" s="115" t="str">
        <f t="shared" si="5"/>
        <v>R12_CHN</v>
      </c>
      <c r="B329" s="124" t="s">
        <v>101</v>
      </c>
      <c r="C329" s="19" t="s">
        <v>37</v>
      </c>
      <c r="D329" t="s">
        <v>549</v>
      </c>
      <c r="E329" s="2" t="s">
        <v>38</v>
      </c>
      <c r="F329" s="125">
        <v>0.8</v>
      </c>
      <c r="G329" s="114">
        <v>2020</v>
      </c>
      <c r="H329" s="43"/>
      <c r="I329" s="44"/>
    </row>
  </sheetData>
  <phoneticPr fontId="5" type="noConversion"/>
  <hyperlinks>
    <hyperlink ref="H27" r:id="rId1" xr:uid="{8076B7B2-437A-4591-B219-E248196BC27F}"/>
    <hyperlink ref="H28" r:id="rId2" xr:uid="{D27DEDB7-8233-4A50-A148-F76D0CEA45AD}"/>
    <hyperlink ref="H29" r:id="rId3" xr:uid="{D8C873EB-13FE-450B-8EB5-A644C51376D1}"/>
    <hyperlink ref="H52" r:id="rId4" xr:uid="{77781F4D-F20B-44D1-9C99-F0B8DEDBE170}"/>
    <hyperlink ref="H53" r:id="rId5" xr:uid="{E08C3BAC-0B90-4F51-9676-70EB4E091920}"/>
    <hyperlink ref="H86" r:id="rId6" tooltip="Persistent link using digital object identifier" xr:uid="{0D70FE66-2D96-40FA-AF5E-E3F5E81D72B3}"/>
    <hyperlink ref="H112" r:id="rId7" xr:uid="{637FE925-BCD0-44CE-AF25-71EEEC2FC6D5}"/>
    <hyperlink ref="H113" r:id="rId8" xr:uid="{0B3E2151-F045-43B5-9EE1-C4F82BD11611}"/>
    <hyperlink ref="H114" r:id="rId9" tooltip="Persistent link using digital object identifier" xr:uid="{EBD1C2E9-B796-4FF9-91A5-6F6B2AD97E80}"/>
    <hyperlink ref="H115" r:id="rId10" xr:uid="{BB5D9873-0730-48A0-AC7B-C9295B0B701E}"/>
    <hyperlink ref="H116" r:id="rId11" xr:uid="{968FE501-8BF1-426B-AA5E-99480A922204}"/>
    <hyperlink ref="H170" r:id="rId12" xr:uid="{BDF3449B-85A6-44A6-918B-C54D0E0595BE}"/>
    <hyperlink ref="H161" r:id="rId13" xr:uid="{1C8973E3-7C08-4783-A32E-4FA2B10BDBEF}"/>
  </hyperlinks>
  <pageMargins left="0.7" right="0.7" top="0.75" bottom="0.75" header="0.3" footer="0.3"/>
  <pageSetup orientation="portrait" horizontalDpi="1200" verticalDpi="1200" r:id="rId14"/>
  <legacyDrawing r:id="rId15"/>
  <tableParts count="1">
    <tablePart r:id="rId16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FA46F-9564-41F4-8C14-7A5A89FFAFAD}">
  <dimension ref="A1:I187"/>
  <sheetViews>
    <sheetView workbookViewId="0">
      <selection activeCell="Q19" sqref="Q19"/>
    </sheetView>
  </sheetViews>
  <sheetFormatPr defaultRowHeight="15"/>
  <cols>
    <col min="1" max="1" width="15.85546875" customWidth="1"/>
    <col min="2" max="2" width="39.140625" bestFit="1" customWidth="1"/>
    <col min="3" max="3" width="44.5703125" bestFit="1" customWidth="1"/>
    <col min="5" max="5" width="9.140625" bestFit="1" customWidth="1"/>
  </cols>
  <sheetData>
    <row r="1" spans="1:9" ht="15.75" thickBot="1">
      <c r="A1" s="127" t="s">
        <v>2</v>
      </c>
      <c r="B1" s="128" t="s">
        <v>52</v>
      </c>
      <c r="C1" s="128" t="s">
        <v>110</v>
      </c>
      <c r="D1" s="170" t="s">
        <v>6</v>
      </c>
      <c r="E1" s="128" t="s">
        <v>7</v>
      </c>
      <c r="F1" s="129" t="s">
        <v>115</v>
      </c>
      <c r="G1" s="166" t="s">
        <v>116</v>
      </c>
      <c r="H1" s="128" t="s">
        <v>9</v>
      </c>
      <c r="I1" s="130" t="s">
        <v>117</v>
      </c>
    </row>
    <row r="2" spans="1:9">
      <c r="A2" s="131" t="s">
        <v>290</v>
      </c>
      <c r="B2" s="112" t="s">
        <v>457</v>
      </c>
      <c r="C2" s="132" t="s">
        <v>291</v>
      </c>
      <c r="D2" s="2" t="s">
        <v>549</v>
      </c>
      <c r="E2" s="112"/>
      <c r="F2" s="133">
        <v>1</v>
      </c>
      <c r="G2" s="121">
        <v>2015</v>
      </c>
      <c r="H2" s="34"/>
      <c r="I2" s="24"/>
    </row>
    <row r="3" spans="1:9">
      <c r="A3" s="134" t="str">
        <f t="shared" ref="A3:B5" si="0">A2</f>
        <v>R12_CHN</v>
      </c>
      <c r="B3" s="28" t="str">
        <f t="shared" si="0"/>
        <v>NMC811_export</v>
      </c>
      <c r="C3" t="s">
        <v>292</v>
      </c>
      <c r="D3" s="2" t="s">
        <v>549</v>
      </c>
      <c r="F3">
        <v>1</v>
      </c>
      <c r="G3" s="121">
        <v>2015</v>
      </c>
      <c r="H3" s="12"/>
    </row>
    <row r="4" spans="1:9">
      <c r="A4" s="134" t="str">
        <f t="shared" si="0"/>
        <v>R12_CHN</v>
      </c>
      <c r="B4" s="28" t="str">
        <f t="shared" si="0"/>
        <v>NMC811_export</v>
      </c>
      <c r="C4" t="s">
        <v>42</v>
      </c>
      <c r="D4" s="2" t="s">
        <v>549</v>
      </c>
      <c r="E4" t="s">
        <v>40</v>
      </c>
      <c r="F4">
        <v>250</v>
      </c>
      <c r="G4" s="121">
        <v>2015</v>
      </c>
      <c r="H4" s="12"/>
    </row>
    <row r="5" spans="1:9">
      <c r="A5" s="134" t="str">
        <f t="shared" si="0"/>
        <v>R12_CHN</v>
      </c>
      <c r="B5" s="28" t="str">
        <f t="shared" si="0"/>
        <v>NMC811_export</v>
      </c>
      <c r="C5" t="s">
        <v>35</v>
      </c>
      <c r="D5" s="2" t="s">
        <v>549</v>
      </c>
      <c r="E5" t="s">
        <v>36</v>
      </c>
      <c r="F5">
        <v>30</v>
      </c>
      <c r="G5" s="121">
        <v>2015</v>
      </c>
      <c r="H5" s="12"/>
    </row>
    <row r="6" spans="1:9">
      <c r="A6" s="134" t="str">
        <f>A5</f>
        <v>R12_CHN</v>
      </c>
      <c r="B6" t="s">
        <v>458</v>
      </c>
      <c r="C6" t="s">
        <v>293</v>
      </c>
      <c r="D6" s="2" t="s">
        <v>549</v>
      </c>
      <c r="F6">
        <v>1</v>
      </c>
      <c r="G6" s="121">
        <v>2015</v>
      </c>
      <c r="H6" s="12"/>
    </row>
    <row r="7" spans="1:9" ht="15.75" thickBot="1">
      <c r="A7" s="134" t="str">
        <f>A6</f>
        <v>R12_CHN</v>
      </c>
      <c r="B7" s="78" t="str">
        <f>B6</f>
        <v>NMC811_import</v>
      </c>
      <c r="C7" s="78" t="s">
        <v>207</v>
      </c>
      <c r="D7" s="2" t="s">
        <v>549</v>
      </c>
      <c r="E7" s="78"/>
      <c r="F7" s="78">
        <v>1</v>
      </c>
      <c r="G7" s="121">
        <v>2015</v>
      </c>
      <c r="H7" s="12"/>
    </row>
    <row r="8" spans="1:9">
      <c r="A8" s="131" t="s">
        <v>290</v>
      </c>
      <c r="B8" s="112" t="s">
        <v>459</v>
      </c>
      <c r="C8" s="132" t="s">
        <v>298</v>
      </c>
      <c r="D8" s="2" t="s">
        <v>549</v>
      </c>
      <c r="E8" s="112"/>
      <c r="F8" s="133">
        <v>1</v>
      </c>
      <c r="G8" s="121">
        <v>2015</v>
      </c>
      <c r="H8" s="12"/>
    </row>
    <row r="9" spans="1:9">
      <c r="A9" s="134" t="str">
        <f>A8</f>
        <v>R12_CHN</v>
      </c>
      <c r="B9" s="28" t="str">
        <f>B8</f>
        <v>LFP_export</v>
      </c>
      <c r="C9" t="s">
        <v>299</v>
      </c>
      <c r="D9" s="2" t="s">
        <v>549</v>
      </c>
      <c r="F9">
        <v>1</v>
      </c>
      <c r="G9" s="121">
        <v>2015</v>
      </c>
      <c r="H9" s="12"/>
    </row>
    <row r="10" spans="1:9">
      <c r="A10" s="134" t="str">
        <f t="shared" ref="A10:A13" si="1">A9</f>
        <v>R12_CHN</v>
      </c>
      <c r="B10" s="28" t="str">
        <f>B9</f>
        <v>LFP_export</v>
      </c>
      <c r="C10" t="s">
        <v>42</v>
      </c>
      <c r="D10" s="2" t="s">
        <v>549</v>
      </c>
      <c r="E10" t="s">
        <v>40</v>
      </c>
      <c r="F10">
        <v>250</v>
      </c>
      <c r="G10" s="121">
        <v>2015</v>
      </c>
      <c r="H10" s="12"/>
    </row>
    <row r="11" spans="1:9">
      <c r="A11" s="134" t="str">
        <f t="shared" si="1"/>
        <v>R12_CHN</v>
      </c>
      <c r="B11" s="28" t="str">
        <f>B10</f>
        <v>LFP_export</v>
      </c>
      <c r="C11" t="s">
        <v>35</v>
      </c>
      <c r="D11" s="2" t="s">
        <v>549</v>
      </c>
      <c r="E11" t="s">
        <v>36</v>
      </c>
      <c r="F11">
        <v>30</v>
      </c>
      <c r="G11" s="121">
        <v>2015</v>
      </c>
      <c r="H11" s="12"/>
    </row>
    <row r="12" spans="1:9">
      <c r="A12" s="134" t="str">
        <f t="shared" si="1"/>
        <v>R12_CHN</v>
      </c>
      <c r="B12" t="s">
        <v>460</v>
      </c>
      <c r="C12" t="s">
        <v>300</v>
      </c>
      <c r="D12" s="2" t="s">
        <v>549</v>
      </c>
      <c r="F12">
        <v>1</v>
      </c>
      <c r="G12" s="121">
        <v>2015</v>
      </c>
      <c r="H12" s="12"/>
    </row>
    <row r="13" spans="1:9" ht="15.75" thickBot="1">
      <c r="A13" s="134" t="str">
        <f t="shared" si="1"/>
        <v>R12_CHN</v>
      </c>
      <c r="B13" s="78" t="str">
        <f>B12</f>
        <v>LFP_import</v>
      </c>
      <c r="C13" s="78" t="s">
        <v>213</v>
      </c>
      <c r="D13" s="2" t="s">
        <v>549</v>
      </c>
      <c r="E13" s="78"/>
      <c r="F13" s="78">
        <v>1</v>
      </c>
      <c r="G13" s="121">
        <v>2015</v>
      </c>
      <c r="H13" s="12"/>
    </row>
    <row r="14" spans="1:9">
      <c r="A14" s="131" t="s">
        <v>290</v>
      </c>
      <c r="B14" s="112" t="s">
        <v>461</v>
      </c>
      <c r="C14" s="132" t="s">
        <v>301</v>
      </c>
      <c r="D14" s="2" t="s">
        <v>549</v>
      </c>
      <c r="E14" s="112"/>
      <c r="F14" s="133">
        <v>1</v>
      </c>
      <c r="G14" s="121">
        <v>2015</v>
      </c>
      <c r="H14" s="12"/>
    </row>
    <row r="15" spans="1:9">
      <c r="A15" s="134" t="str">
        <f>A14</f>
        <v>R12_CHN</v>
      </c>
      <c r="B15" s="28" t="str">
        <f>B14</f>
        <v>NMC622_export</v>
      </c>
      <c r="C15" t="s">
        <v>302</v>
      </c>
      <c r="D15" s="2" t="s">
        <v>549</v>
      </c>
      <c r="F15">
        <v>1</v>
      </c>
      <c r="G15" s="121">
        <v>2015</v>
      </c>
      <c r="H15" s="12"/>
    </row>
    <row r="16" spans="1:9">
      <c r="A16" s="134" t="str">
        <f t="shared" ref="A16:A19" si="2">A15</f>
        <v>R12_CHN</v>
      </c>
      <c r="B16" s="28" t="str">
        <f>B15</f>
        <v>NMC622_export</v>
      </c>
      <c r="C16" t="s">
        <v>42</v>
      </c>
      <c r="D16" s="2" t="s">
        <v>549</v>
      </c>
      <c r="E16" t="s">
        <v>40</v>
      </c>
      <c r="F16">
        <v>250</v>
      </c>
      <c r="G16" s="121">
        <v>2015</v>
      </c>
      <c r="H16" s="12"/>
    </row>
    <row r="17" spans="1:8">
      <c r="A17" s="134" t="str">
        <f t="shared" si="2"/>
        <v>R12_CHN</v>
      </c>
      <c r="B17" s="28" t="str">
        <f>B16</f>
        <v>NMC622_export</v>
      </c>
      <c r="C17" t="s">
        <v>35</v>
      </c>
      <c r="D17" s="2" t="s">
        <v>549</v>
      </c>
      <c r="E17" t="s">
        <v>36</v>
      </c>
      <c r="F17">
        <v>30</v>
      </c>
      <c r="G17" s="121">
        <v>2015</v>
      </c>
      <c r="H17" s="12"/>
    </row>
    <row r="18" spans="1:8">
      <c r="A18" s="134" t="str">
        <f t="shared" si="2"/>
        <v>R12_CHN</v>
      </c>
      <c r="B18" t="s">
        <v>462</v>
      </c>
      <c r="C18" t="s">
        <v>303</v>
      </c>
      <c r="D18" s="2" t="s">
        <v>549</v>
      </c>
      <c r="F18">
        <v>1</v>
      </c>
      <c r="G18" s="121">
        <v>2015</v>
      </c>
      <c r="H18" s="12"/>
    </row>
    <row r="19" spans="1:8" ht="15.75" thickBot="1">
      <c r="A19" s="134" t="str">
        <f t="shared" si="2"/>
        <v>R12_CHN</v>
      </c>
      <c r="B19" s="78" t="str">
        <f>B18</f>
        <v>NMC622_import</v>
      </c>
      <c r="C19" s="78" t="s">
        <v>210</v>
      </c>
      <c r="D19" s="2" t="s">
        <v>549</v>
      </c>
      <c r="E19" s="78"/>
      <c r="F19" s="78">
        <v>1</v>
      </c>
      <c r="G19" s="121">
        <v>2015</v>
      </c>
      <c r="H19" s="12"/>
    </row>
    <row r="20" spans="1:8">
      <c r="A20" s="131" t="s">
        <v>290</v>
      </c>
      <c r="B20" s="112" t="s">
        <v>463</v>
      </c>
      <c r="C20" s="132" t="s">
        <v>456</v>
      </c>
      <c r="D20" s="2" t="s">
        <v>549</v>
      </c>
      <c r="E20" s="112"/>
      <c r="F20" s="133">
        <v>1</v>
      </c>
      <c r="G20" s="121">
        <v>2015</v>
      </c>
      <c r="H20" s="12"/>
    </row>
    <row r="21" spans="1:8">
      <c r="A21" s="134" t="str">
        <f>A20</f>
        <v>R12_CHN</v>
      </c>
      <c r="B21" s="28" t="str">
        <f>B20</f>
        <v>NCA_export</v>
      </c>
      <c r="C21" t="s">
        <v>304</v>
      </c>
      <c r="D21" s="2" t="s">
        <v>549</v>
      </c>
      <c r="F21">
        <v>1</v>
      </c>
      <c r="G21" s="121">
        <v>2015</v>
      </c>
      <c r="H21" s="12"/>
    </row>
    <row r="22" spans="1:8">
      <c r="A22" s="134" t="str">
        <f t="shared" ref="A22:A25" si="3">A21</f>
        <v>R12_CHN</v>
      </c>
      <c r="B22" s="28" t="str">
        <f>B21</f>
        <v>NCA_export</v>
      </c>
      <c r="C22" t="s">
        <v>42</v>
      </c>
      <c r="D22" s="2" t="s">
        <v>549</v>
      </c>
      <c r="E22" t="s">
        <v>40</v>
      </c>
      <c r="F22">
        <v>250</v>
      </c>
      <c r="G22" s="121">
        <v>2015</v>
      </c>
      <c r="H22" s="12"/>
    </row>
    <row r="23" spans="1:8">
      <c r="A23" s="134" t="str">
        <f t="shared" si="3"/>
        <v>R12_CHN</v>
      </c>
      <c r="B23" s="28" t="str">
        <f>B22</f>
        <v>NCA_export</v>
      </c>
      <c r="C23" t="s">
        <v>35</v>
      </c>
      <c r="D23" s="2" t="s">
        <v>549</v>
      </c>
      <c r="E23" t="s">
        <v>36</v>
      </c>
      <c r="F23">
        <v>30</v>
      </c>
      <c r="G23" s="121">
        <v>2015</v>
      </c>
      <c r="H23" s="12"/>
    </row>
    <row r="24" spans="1:8">
      <c r="A24" s="134" t="str">
        <f t="shared" si="3"/>
        <v>R12_CHN</v>
      </c>
      <c r="B24" t="s">
        <v>464</v>
      </c>
      <c r="C24" t="s">
        <v>305</v>
      </c>
      <c r="D24" s="2" t="s">
        <v>549</v>
      </c>
      <c r="F24">
        <v>1</v>
      </c>
      <c r="G24" s="121">
        <v>2015</v>
      </c>
      <c r="H24" s="12"/>
    </row>
    <row r="25" spans="1:8" ht="15.75" thickBot="1">
      <c r="A25" s="134" t="str">
        <f t="shared" si="3"/>
        <v>R12_CHN</v>
      </c>
      <c r="B25" s="78" t="str">
        <f>B24</f>
        <v>NCA_import</v>
      </c>
      <c r="C25" s="78" t="s">
        <v>216</v>
      </c>
      <c r="D25" s="2" t="s">
        <v>549</v>
      </c>
      <c r="E25" s="78"/>
      <c r="F25" s="78">
        <v>1</v>
      </c>
      <c r="G25" s="121">
        <v>2015</v>
      </c>
      <c r="H25" s="12"/>
    </row>
    <row r="26" spans="1:8">
      <c r="A26" s="72" t="s">
        <v>290</v>
      </c>
      <c r="B26" s="73" t="s">
        <v>315</v>
      </c>
      <c r="C26" s="112" t="s">
        <v>122</v>
      </c>
      <c r="D26" s="2" t="s">
        <v>549</v>
      </c>
      <c r="E26" s="112"/>
      <c r="F26" s="133">
        <v>1</v>
      </c>
      <c r="G26" s="121">
        <v>2015</v>
      </c>
    </row>
    <row r="27" spans="1:8">
      <c r="A27" s="75" t="str">
        <f>A26</f>
        <v>R12_CHN</v>
      </c>
      <c r="B27" t="str">
        <f>B26</f>
        <v>mining_flotation_graphite_export</v>
      </c>
      <c r="C27" t="s">
        <v>319</v>
      </c>
      <c r="D27" s="2" t="s">
        <v>549</v>
      </c>
      <c r="F27">
        <v>1</v>
      </c>
      <c r="G27" s="121">
        <v>2015</v>
      </c>
    </row>
    <row r="28" spans="1:8">
      <c r="A28" s="75" t="str">
        <f t="shared" ref="A28:A91" si="4">A27</f>
        <v>R12_CHN</v>
      </c>
      <c r="B28" t="str">
        <f>B27</f>
        <v>mining_flotation_graphite_export</v>
      </c>
      <c r="C28" t="s">
        <v>42</v>
      </c>
      <c r="D28" s="2" t="s">
        <v>549</v>
      </c>
      <c r="E28" t="s">
        <v>40</v>
      </c>
      <c r="F28">
        <v>250</v>
      </c>
      <c r="G28" s="121">
        <v>2015</v>
      </c>
    </row>
    <row r="29" spans="1:8">
      <c r="A29" s="75" t="str">
        <f t="shared" si="4"/>
        <v>R12_CHN</v>
      </c>
      <c r="B29" t="str">
        <f>B28</f>
        <v>mining_flotation_graphite_export</v>
      </c>
      <c r="C29" t="s">
        <v>35</v>
      </c>
      <c r="D29" s="2" t="s">
        <v>549</v>
      </c>
      <c r="E29" t="s">
        <v>36</v>
      </c>
      <c r="F29">
        <v>30</v>
      </c>
      <c r="G29" s="121">
        <v>2015</v>
      </c>
    </row>
    <row r="30" spans="1:8">
      <c r="A30" s="75" t="str">
        <f t="shared" si="4"/>
        <v>R12_CHN</v>
      </c>
      <c r="B30" t="s">
        <v>316</v>
      </c>
      <c r="C30" t="s">
        <v>320</v>
      </c>
      <c r="D30" s="2" t="s">
        <v>549</v>
      </c>
      <c r="F30">
        <v>1</v>
      </c>
      <c r="G30" s="121">
        <v>2015</v>
      </c>
    </row>
    <row r="31" spans="1:8" ht="15.75" thickBot="1">
      <c r="A31" s="75" t="str">
        <f t="shared" si="4"/>
        <v>R12_CHN</v>
      </c>
      <c r="B31" s="78" t="str">
        <f>B30</f>
        <v>mining_flotation_graphite_import</v>
      </c>
      <c r="C31" s="78" t="s">
        <v>120</v>
      </c>
      <c r="D31" s="2" t="s">
        <v>549</v>
      </c>
      <c r="E31" s="78"/>
      <c r="F31" s="78">
        <v>1</v>
      </c>
      <c r="G31" s="121">
        <v>2015</v>
      </c>
    </row>
    <row r="32" spans="1:8">
      <c r="A32" s="75" t="str">
        <f t="shared" si="4"/>
        <v>R12_CHN</v>
      </c>
      <c r="B32" s="73" t="s">
        <v>317</v>
      </c>
      <c r="C32" s="112" t="s">
        <v>321</v>
      </c>
      <c r="D32" s="2" t="s">
        <v>549</v>
      </c>
      <c r="E32" s="112"/>
      <c r="F32" s="133">
        <v>1</v>
      </c>
      <c r="G32" s="121">
        <v>2015</v>
      </c>
    </row>
    <row r="33" spans="1:7">
      <c r="A33" s="75" t="str">
        <f t="shared" si="4"/>
        <v>R12_CHN</v>
      </c>
      <c r="B33" t="str">
        <f>B32</f>
        <v>spheronization_purification_coating_export</v>
      </c>
      <c r="C33" t="s">
        <v>322</v>
      </c>
      <c r="D33" s="2" t="s">
        <v>549</v>
      </c>
      <c r="F33">
        <v>1</v>
      </c>
      <c r="G33" s="121">
        <v>2015</v>
      </c>
    </row>
    <row r="34" spans="1:7">
      <c r="A34" s="75" t="str">
        <f t="shared" si="4"/>
        <v>R12_CHN</v>
      </c>
      <c r="B34" t="str">
        <f t="shared" ref="B34:B35" si="5">B33</f>
        <v>spheronization_purification_coating_export</v>
      </c>
      <c r="C34" t="s">
        <v>42</v>
      </c>
      <c r="D34" s="2" t="s">
        <v>549</v>
      </c>
      <c r="E34" t="s">
        <v>40</v>
      </c>
      <c r="F34">
        <v>250</v>
      </c>
      <c r="G34" s="121">
        <v>2015</v>
      </c>
    </row>
    <row r="35" spans="1:7">
      <c r="A35" s="75" t="str">
        <f t="shared" si="4"/>
        <v>R12_CHN</v>
      </c>
      <c r="B35" t="str">
        <f t="shared" si="5"/>
        <v>spheronization_purification_coating_export</v>
      </c>
      <c r="C35" t="s">
        <v>35</v>
      </c>
      <c r="D35" s="2" t="s">
        <v>549</v>
      </c>
      <c r="E35" t="s">
        <v>36</v>
      </c>
      <c r="F35">
        <v>30</v>
      </c>
      <c r="G35" s="121">
        <v>2015</v>
      </c>
    </row>
    <row r="36" spans="1:7">
      <c r="A36" s="75" t="str">
        <f t="shared" si="4"/>
        <v>R12_CHN</v>
      </c>
      <c r="B36" t="s">
        <v>318</v>
      </c>
      <c r="C36" t="s">
        <v>323</v>
      </c>
      <c r="D36" s="2" t="s">
        <v>549</v>
      </c>
      <c r="F36">
        <v>1</v>
      </c>
      <c r="G36" s="121">
        <v>2015</v>
      </c>
    </row>
    <row r="37" spans="1:7" ht="15.75" thickBot="1">
      <c r="A37" s="75" t="str">
        <f t="shared" si="4"/>
        <v>R12_CHN</v>
      </c>
      <c r="B37" s="78" t="str">
        <f>B36</f>
        <v>spheronization_purification_coating_import</v>
      </c>
      <c r="C37" s="78" t="s">
        <v>324</v>
      </c>
      <c r="D37" s="2" t="s">
        <v>549</v>
      </c>
      <c r="E37" s="78"/>
      <c r="F37" s="78">
        <v>1</v>
      </c>
      <c r="G37" s="121">
        <v>2015</v>
      </c>
    </row>
    <row r="38" spans="1:7">
      <c r="A38" s="75" t="str">
        <f t="shared" si="4"/>
        <v>R12_CHN</v>
      </c>
      <c r="B38" s="73" t="s">
        <v>465</v>
      </c>
      <c r="C38" s="112" t="s">
        <v>136</v>
      </c>
      <c r="D38" s="2" t="s">
        <v>549</v>
      </c>
      <c r="E38" s="112"/>
      <c r="F38" s="133">
        <v>1</v>
      </c>
      <c r="G38" s="121">
        <v>2015</v>
      </c>
    </row>
    <row r="39" spans="1:7">
      <c r="A39" s="75" t="str">
        <f t="shared" si="4"/>
        <v>R12_CHN</v>
      </c>
      <c r="B39" t="str">
        <f>B38</f>
        <v>coal_tar_pitch_prep_export</v>
      </c>
      <c r="C39" t="s">
        <v>325</v>
      </c>
      <c r="D39" s="2" t="s">
        <v>549</v>
      </c>
      <c r="F39">
        <v>1</v>
      </c>
      <c r="G39" s="121">
        <v>2015</v>
      </c>
    </row>
    <row r="40" spans="1:7">
      <c r="A40" s="75" t="str">
        <f t="shared" si="4"/>
        <v>R12_CHN</v>
      </c>
      <c r="B40" t="str">
        <f t="shared" ref="B40:B41" si="6">B39</f>
        <v>coal_tar_pitch_prep_export</v>
      </c>
      <c r="C40" t="s">
        <v>42</v>
      </c>
      <c r="D40" s="2" t="s">
        <v>549</v>
      </c>
      <c r="E40" t="s">
        <v>40</v>
      </c>
      <c r="F40">
        <v>250</v>
      </c>
      <c r="G40" s="121">
        <v>2015</v>
      </c>
    </row>
    <row r="41" spans="1:7">
      <c r="A41" s="75" t="str">
        <f t="shared" si="4"/>
        <v>R12_CHN</v>
      </c>
      <c r="B41" t="str">
        <f t="shared" si="6"/>
        <v>coal_tar_pitch_prep_export</v>
      </c>
      <c r="C41" t="s">
        <v>35</v>
      </c>
      <c r="D41" s="2" t="s">
        <v>549</v>
      </c>
      <c r="E41" t="s">
        <v>36</v>
      </c>
      <c r="F41">
        <v>30</v>
      </c>
      <c r="G41" s="121">
        <v>2015</v>
      </c>
    </row>
    <row r="42" spans="1:7">
      <c r="A42" s="75" t="str">
        <f t="shared" si="4"/>
        <v>R12_CHN</v>
      </c>
      <c r="B42" t="s">
        <v>466</v>
      </c>
      <c r="C42" t="s">
        <v>326</v>
      </c>
      <c r="D42" s="2" t="s">
        <v>549</v>
      </c>
      <c r="F42">
        <v>1</v>
      </c>
      <c r="G42" s="121">
        <v>2015</v>
      </c>
    </row>
    <row r="43" spans="1:7" ht="15.75" thickBot="1">
      <c r="A43" s="75" t="str">
        <f t="shared" si="4"/>
        <v>R12_CHN</v>
      </c>
      <c r="B43" s="78" t="str">
        <f>B42</f>
        <v>coal_tar_pitch_prep_import</v>
      </c>
      <c r="C43" s="78" t="s">
        <v>130</v>
      </c>
      <c r="D43" s="2" t="s">
        <v>549</v>
      </c>
      <c r="E43" s="78"/>
      <c r="F43" s="78">
        <v>1</v>
      </c>
      <c r="G43" s="121">
        <v>2015</v>
      </c>
    </row>
    <row r="44" spans="1:7">
      <c r="A44" s="75" t="str">
        <f t="shared" si="4"/>
        <v>R12_CHN</v>
      </c>
      <c r="B44" s="73" t="s">
        <v>467</v>
      </c>
      <c r="C44" s="112" t="s">
        <v>187</v>
      </c>
      <c r="D44" s="2" t="s">
        <v>549</v>
      </c>
      <c r="E44" s="112"/>
      <c r="F44" s="133">
        <v>1</v>
      </c>
      <c r="G44" s="121">
        <v>2015</v>
      </c>
    </row>
    <row r="45" spans="1:7">
      <c r="A45" s="75" t="str">
        <f t="shared" si="4"/>
        <v>R12_CHN</v>
      </c>
      <c r="B45" t="str">
        <f>B44</f>
        <v>baking_graphitization_export</v>
      </c>
      <c r="C45" t="s">
        <v>329</v>
      </c>
      <c r="D45" s="2" t="s">
        <v>549</v>
      </c>
      <c r="F45">
        <v>1</v>
      </c>
      <c r="G45" s="121">
        <v>2015</v>
      </c>
    </row>
    <row r="46" spans="1:7">
      <c r="A46" s="75" t="str">
        <f t="shared" si="4"/>
        <v>R12_CHN</v>
      </c>
      <c r="B46" t="str">
        <f t="shared" ref="B46:B47" si="7">B45</f>
        <v>baking_graphitization_export</v>
      </c>
      <c r="C46" t="s">
        <v>42</v>
      </c>
      <c r="D46" s="2" t="s">
        <v>549</v>
      </c>
      <c r="E46" t="s">
        <v>40</v>
      </c>
      <c r="F46">
        <v>250</v>
      </c>
      <c r="G46" s="121">
        <v>2015</v>
      </c>
    </row>
    <row r="47" spans="1:7">
      <c r="A47" s="75" t="str">
        <f t="shared" si="4"/>
        <v>R12_CHN</v>
      </c>
      <c r="B47" t="str">
        <f t="shared" si="7"/>
        <v>baking_graphitization_export</v>
      </c>
      <c r="C47" t="s">
        <v>35</v>
      </c>
      <c r="D47" s="2" t="s">
        <v>549</v>
      </c>
      <c r="E47" t="s">
        <v>36</v>
      </c>
      <c r="F47">
        <v>30</v>
      </c>
      <c r="G47" s="121">
        <v>2015</v>
      </c>
    </row>
    <row r="48" spans="1:7">
      <c r="A48" s="75" t="str">
        <f t="shared" si="4"/>
        <v>R12_CHN</v>
      </c>
      <c r="B48" t="s">
        <v>468</v>
      </c>
      <c r="C48" t="s">
        <v>330</v>
      </c>
      <c r="D48" s="2" t="s">
        <v>549</v>
      </c>
      <c r="F48">
        <v>1</v>
      </c>
      <c r="G48" s="121">
        <v>2015</v>
      </c>
    </row>
    <row r="49" spans="1:7" ht="15.75" thickBot="1">
      <c r="A49" s="75" t="str">
        <f t="shared" si="4"/>
        <v>R12_CHN</v>
      </c>
      <c r="B49" s="78" t="str">
        <f>B48</f>
        <v>baking_graphitization_import</v>
      </c>
      <c r="C49" s="78" t="s">
        <v>137</v>
      </c>
      <c r="D49" s="2" t="s">
        <v>549</v>
      </c>
      <c r="E49" s="78"/>
      <c r="F49" s="78">
        <v>1</v>
      </c>
      <c r="G49" s="121">
        <v>2015</v>
      </c>
    </row>
    <row r="50" spans="1:7">
      <c r="A50" s="75" t="str">
        <f t="shared" si="4"/>
        <v>R12_CHN</v>
      </c>
      <c r="B50" s="73" t="s">
        <v>469</v>
      </c>
      <c r="C50" s="112" t="s">
        <v>134</v>
      </c>
      <c r="D50" s="2" t="s">
        <v>549</v>
      </c>
      <c r="E50" s="112"/>
      <c r="F50" s="133">
        <v>1</v>
      </c>
      <c r="G50" s="121">
        <v>2015</v>
      </c>
    </row>
    <row r="51" spans="1:7">
      <c r="A51" s="75" t="str">
        <f t="shared" si="4"/>
        <v>R12_CHN</v>
      </c>
      <c r="B51" t="str">
        <f>B50</f>
        <v>needle_coke_prep_export</v>
      </c>
      <c r="C51" t="s">
        <v>327</v>
      </c>
      <c r="D51" s="2" t="s">
        <v>549</v>
      </c>
      <c r="F51">
        <v>1</v>
      </c>
      <c r="G51" s="121">
        <v>2015</v>
      </c>
    </row>
    <row r="52" spans="1:7">
      <c r="A52" s="75" t="str">
        <f t="shared" si="4"/>
        <v>R12_CHN</v>
      </c>
      <c r="B52" t="str">
        <f>B51</f>
        <v>needle_coke_prep_export</v>
      </c>
      <c r="C52" t="s">
        <v>42</v>
      </c>
      <c r="D52" s="2" t="s">
        <v>549</v>
      </c>
      <c r="E52" t="s">
        <v>40</v>
      </c>
      <c r="F52">
        <v>250</v>
      </c>
      <c r="G52" s="121">
        <v>2015</v>
      </c>
    </row>
    <row r="53" spans="1:7">
      <c r="A53" s="75" t="str">
        <f t="shared" si="4"/>
        <v>R12_CHN</v>
      </c>
      <c r="B53" t="str">
        <f>B52</f>
        <v>needle_coke_prep_export</v>
      </c>
      <c r="C53" t="s">
        <v>35</v>
      </c>
      <c r="D53" s="2" t="s">
        <v>549</v>
      </c>
      <c r="E53" t="s">
        <v>36</v>
      </c>
      <c r="F53">
        <v>30</v>
      </c>
      <c r="G53" s="121">
        <v>2015</v>
      </c>
    </row>
    <row r="54" spans="1:7">
      <c r="A54" s="75" t="str">
        <f t="shared" si="4"/>
        <v>R12_CHN</v>
      </c>
      <c r="B54" t="s">
        <v>470</v>
      </c>
      <c r="C54" t="s">
        <v>328</v>
      </c>
      <c r="D54" s="2" t="s">
        <v>549</v>
      </c>
      <c r="F54">
        <v>1</v>
      </c>
      <c r="G54" s="121">
        <v>2015</v>
      </c>
    </row>
    <row r="55" spans="1:7" ht="15.75" thickBot="1">
      <c r="A55" s="75" t="str">
        <f t="shared" si="4"/>
        <v>R12_CHN</v>
      </c>
      <c r="B55" s="78" t="str">
        <f>B54</f>
        <v>needle_coke_prep_import</v>
      </c>
      <c r="C55" s="78" t="s">
        <v>133</v>
      </c>
      <c r="D55" s="2" t="s">
        <v>549</v>
      </c>
      <c r="E55" s="78"/>
      <c r="F55" s="78">
        <v>1</v>
      </c>
      <c r="G55" s="121">
        <v>2015</v>
      </c>
    </row>
    <row r="56" spans="1:7">
      <c r="A56" s="75" t="str">
        <f t="shared" si="4"/>
        <v>R12_CHN</v>
      </c>
      <c r="B56" s="73" t="s">
        <v>471</v>
      </c>
      <c r="C56" s="112" t="s">
        <v>151</v>
      </c>
      <c r="D56" s="2" t="s">
        <v>549</v>
      </c>
      <c r="E56" s="112"/>
      <c r="F56" s="133">
        <v>1</v>
      </c>
      <c r="G56" s="121">
        <v>2015</v>
      </c>
    </row>
    <row r="57" spans="1:7">
      <c r="A57" s="75" t="str">
        <f t="shared" si="4"/>
        <v>R12_CHN</v>
      </c>
      <c r="B57" t="str">
        <f>B56</f>
        <v>brine_concentrate_processing_export</v>
      </c>
      <c r="C57" t="s">
        <v>331</v>
      </c>
      <c r="D57" s="2" t="s">
        <v>549</v>
      </c>
      <c r="F57">
        <v>1</v>
      </c>
      <c r="G57" s="121">
        <v>2015</v>
      </c>
    </row>
    <row r="58" spans="1:7">
      <c r="A58" s="75" t="str">
        <f t="shared" si="4"/>
        <v>R12_CHN</v>
      </c>
      <c r="B58" t="str">
        <f>B57</f>
        <v>brine_concentrate_processing_export</v>
      </c>
      <c r="C58" t="s">
        <v>42</v>
      </c>
      <c r="D58" s="2" t="s">
        <v>549</v>
      </c>
      <c r="E58" t="s">
        <v>40</v>
      </c>
      <c r="F58">
        <v>250</v>
      </c>
      <c r="G58" s="121">
        <v>2015</v>
      </c>
    </row>
    <row r="59" spans="1:7">
      <c r="A59" s="75" t="str">
        <f t="shared" si="4"/>
        <v>R12_CHN</v>
      </c>
      <c r="B59" t="str">
        <f>B58</f>
        <v>brine_concentrate_processing_export</v>
      </c>
      <c r="C59" t="s">
        <v>35</v>
      </c>
      <c r="D59" s="2" t="s">
        <v>549</v>
      </c>
      <c r="E59" t="s">
        <v>36</v>
      </c>
      <c r="F59">
        <v>30</v>
      </c>
      <c r="G59" s="121">
        <v>2015</v>
      </c>
    </row>
    <row r="60" spans="1:7">
      <c r="A60" s="75" t="str">
        <f t="shared" si="4"/>
        <v>R12_CHN</v>
      </c>
      <c r="B60" t="s">
        <v>472</v>
      </c>
      <c r="C60" t="s">
        <v>332</v>
      </c>
      <c r="D60" s="2" t="s">
        <v>549</v>
      </c>
      <c r="F60">
        <v>1</v>
      </c>
      <c r="G60" s="121">
        <v>2015</v>
      </c>
    </row>
    <row r="61" spans="1:7" ht="15.75" thickBot="1">
      <c r="A61" s="75" t="str">
        <f t="shared" si="4"/>
        <v>R12_CHN</v>
      </c>
      <c r="B61" s="78" t="str">
        <f>B60</f>
        <v>brine_concentrate_processing_import</v>
      </c>
      <c r="C61" s="78" t="s">
        <v>150</v>
      </c>
      <c r="D61" s="2" t="s">
        <v>549</v>
      </c>
      <c r="E61" s="78"/>
      <c r="F61" s="78">
        <v>1</v>
      </c>
      <c r="G61" s="121">
        <v>2015</v>
      </c>
    </row>
    <row r="62" spans="1:7">
      <c r="A62" s="75" t="str">
        <f t="shared" si="4"/>
        <v>R12_CHN</v>
      </c>
      <c r="B62" s="73" t="s">
        <v>473</v>
      </c>
      <c r="C62" s="112" t="s">
        <v>148</v>
      </c>
      <c r="D62" s="2" t="s">
        <v>549</v>
      </c>
      <c r="E62" s="112"/>
      <c r="F62" s="133">
        <v>1</v>
      </c>
      <c r="G62" s="121">
        <v>2015</v>
      </c>
    </row>
    <row r="63" spans="1:7">
      <c r="A63" s="75" t="str">
        <f t="shared" si="4"/>
        <v>R12_CHN</v>
      </c>
      <c r="B63" t="str">
        <f>B62</f>
        <v>brine_extraction_export</v>
      </c>
      <c r="C63" t="s">
        <v>333</v>
      </c>
      <c r="D63" s="2" t="s">
        <v>549</v>
      </c>
      <c r="F63">
        <v>1</v>
      </c>
      <c r="G63" s="121">
        <v>2015</v>
      </c>
    </row>
    <row r="64" spans="1:7">
      <c r="A64" s="75" t="str">
        <f t="shared" si="4"/>
        <v>R12_CHN</v>
      </c>
      <c r="B64" t="str">
        <f>B63</f>
        <v>brine_extraction_export</v>
      </c>
      <c r="C64" t="s">
        <v>42</v>
      </c>
      <c r="D64" s="2" t="s">
        <v>549</v>
      </c>
      <c r="E64" t="s">
        <v>40</v>
      </c>
      <c r="F64">
        <v>250</v>
      </c>
      <c r="G64" s="121">
        <v>2015</v>
      </c>
    </row>
    <row r="65" spans="1:7">
      <c r="A65" s="75" t="str">
        <f t="shared" si="4"/>
        <v>R12_CHN</v>
      </c>
      <c r="B65" t="str">
        <f>B64</f>
        <v>brine_extraction_export</v>
      </c>
      <c r="C65" t="s">
        <v>35</v>
      </c>
      <c r="D65" s="2" t="s">
        <v>549</v>
      </c>
      <c r="E65" t="s">
        <v>36</v>
      </c>
      <c r="F65">
        <v>30</v>
      </c>
      <c r="G65" s="121">
        <v>2015</v>
      </c>
    </row>
    <row r="66" spans="1:7">
      <c r="A66" s="75" t="str">
        <f t="shared" si="4"/>
        <v>R12_CHN</v>
      </c>
      <c r="B66" t="s">
        <v>474</v>
      </c>
      <c r="C66" t="s">
        <v>334</v>
      </c>
      <c r="D66" s="2" t="s">
        <v>549</v>
      </c>
      <c r="F66">
        <v>1</v>
      </c>
      <c r="G66" s="121">
        <v>2015</v>
      </c>
    </row>
    <row r="67" spans="1:7" ht="15.75" thickBot="1">
      <c r="A67" s="75" t="str">
        <f t="shared" si="4"/>
        <v>R12_CHN</v>
      </c>
      <c r="B67" s="78" t="str">
        <f>B66</f>
        <v>brine_extraction_import</v>
      </c>
      <c r="C67" s="78" t="s">
        <v>146</v>
      </c>
      <c r="D67" s="2" t="s">
        <v>549</v>
      </c>
      <c r="E67" s="78"/>
      <c r="F67" s="78">
        <v>1</v>
      </c>
      <c r="G67" s="121">
        <v>2015</v>
      </c>
    </row>
    <row r="68" spans="1:7">
      <c r="A68" s="75" t="str">
        <f t="shared" si="4"/>
        <v>R12_CHN</v>
      </c>
      <c r="B68" s="73" t="s">
        <v>475</v>
      </c>
      <c r="C68" s="112" t="s">
        <v>197</v>
      </c>
      <c r="D68" s="2" t="s">
        <v>549</v>
      </c>
      <c r="E68" s="112"/>
      <c r="F68" s="133">
        <v>1</v>
      </c>
      <c r="G68" s="121">
        <v>2015</v>
      </c>
    </row>
    <row r="69" spans="1:7">
      <c r="A69" s="75" t="str">
        <f t="shared" si="4"/>
        <v>R12_CHN</v>
      </c>
      <c r="B69" t="str">
        <f>B68</f>
        <v>conversion_hydroxide_export</v>
      </c>
      <c r="C69" t="s">
        <v>335</v>
      </c>
      <c r="D69" s="2" t="s">
        <v>549</v>
      </c>
      <c r="F69">
        <v>1</v>
      </c>
      <c r="G69" s="121">
        <v>2015</v>
      </c>
    </row>
    <row r="70" spans="1:7">
      <c r="A70" s="75" t="str">
        <f t="shared" si="4"/>
        <v>R12_CHN</v>
      </c>
      <c r="B70" t="str">
        <f>B69</f>
        <v>conversion_hydroxide_export</v>
      </c>
      <c r="C70" t="s">
        <v>42</v>
      </c>
      <c r="D70" s="2" t="s">
        <v>549</v>
      </c>
      <c r="E70" t="s">
        <v>40</v>
      </c>
      <c r="F70">
        <v>250</v>
      </c>
      <c r="G70" s="121">
        <v>2015</v>
      </c>
    </row>
    <row r="71" spans="1:7">
      <c r="A71" s="75" t="str">
        <f t="shared" si="4"/>
        <v>R12_CHN</v>
      </c>
      <c r="B71" t="str">
        <f>B70</f>
        <v>conversion_hydroxide_export</v>
      </c>
      <c r="C71" t="s">
        <v>35</v>
      </c>
      <c r="D71" s="2" t="s">
        <v>549</v>
      </c>
      <c r="E71" t="s">
        <v>36</v>
      </c>
      <c r="F71">
        <v>30</v>
      </c>
      <c r="G71" s="121">
        <v>2015</v>
      </c>
    </row>
    <row r="72" spans="1:7">
      <c r="A72" s="75" t="str">
        <f t="shared" si="4"/>
        <v>R12_CHN</v>
      </c>
      <c r="B72" t="s">
        <v>476</v>
      </c>
      <c r="C72" t="s">
        <v>336</v>
      </c>
      <c r="D72" s="2" t="s">
        <v>549</v>
      </c>
      <c r="F72">
        <v>1</v>
      </c>
      <c r="G72" s="121">
        <v>2015</v>
      </c>
    </row>
    <row r="73" spans="1:7" ht="15.75" thickBot="1">
      <c r="A73" s="75" t="str">
        <f t="shared" si="4"/>
        <v>R12_CHN</v>
      </c>
      <c r="B73" s="78" t="str">
        <f>B72</f>
        <v>conversion_hydroxide_import</v>
      </c>
      <c r="C73" s="78" t="s">
        <v>153</v>
      </c>
      <c r="D73" s="2" t="s">
        <v>549</v>
      </c>
      <c r="E73" s="78"/>
      <c r="F73" s="78">
        <v>1</v>
      </c>
      <c r="G73" s="121">
        <v>2015</v>
      </c>
    </row>
    <row r="74" spans="1:7">
      <c r="A74" s="75" t="str">
        <f t="shared" si="4"/>
        <v>R12_CHN</v>
      </c>
      <c r="B74" s="73" t="s">
        <v>477</v>
      </c>
      <c r="C74" s="112" t="s">
        <v>162</v>
      </c>
      <c r="D74" s="2" t="s">
        <v>549</v>
      </c>
      <c r="E74" s="112"/>
      <c r="F74" s="133">
        <v>1</v>
      </c>
      <c r="G74" s="121">
        <v>2015</v>
      </c>
    </row>
    <row r="75" spans="1:7">
      <c r="A75" s="75" t="str">
        <f t="shared" si="4"/>
        <v>R12_CHN</v>
      </c>
      <c r="B75" t="str">
        <f>B74</f>
        <v>spodumene_extraction_export</v>
      </c>
      <c r="C75" t="s">
        <v>337</v>
      </c>
      <c r="D75" s="2" t="s">
        <v>549</v>
      </c>
      <c r="F75">
        <v>1</v>
      </c>
      <c r="G75" s="121">
        <v>2015</v>
      </c>
    </row>
    <row r="76" spans="1:7">
      <c r="A76" s="75" t="str">
        <f t="shared" si="4"/>
        <v>R12_CHN</v>
      </c>
      <c r="B76" t="str">
        <f>B75</f>
        <v>spodumene_extraction_export</v>
      </c>
      <c r="C76" t="s">
        <v>42</v>
      </c>
      <c r="D76" s="2" t="s">
        <v>549</v>
      </c>
      <c r="E76" t="s">
        <v>40</v>
      </c>
      <c r="F76">
        <v>250</v>
      </c>
      <c r="G76" s="121">
        <v>2015</v>
      </c>
    </row>
    <row r="77" spans="1:7">
      <c r="A77" s="75" t="str">
        <f t="shared" si="4"/>
        <v>R12_CHN</v>
      </c>
      <c r="B77" t="str">
        <f>B76</f>
        <v>spodumene_extraction_export</v>
      </c>
      <c r="C77" t="s">
        <v>35</v>
      </c>
      <c r="D77" s="2" t="s">
        <v>549</v>
      </c>
      <c r="E77" t="s">
        <v>36</v>
      </c>
      <c r="F77">
        <v>30</v>
      </c>
      <c r="G77" s="121">
        <v>2015</v>
      </c>
    </row>
    <row r="78" spans="1:7">
      <c r="A78" s="75" t="str">
        <f t="shared" si="4"/>
        <v>R12_CHN</v>
      </c>
      <c r="B78" t="s">
        <v>478</v>
      </c>
      <c r="C78" t="s">
        <v>338</v>
      </c>
      <c r="D78" s="2" t="s">
        <v>549</v>
      </c>
      <c r="F78">
        <v>1</v>
      </c>
      <c r="G78" s="121">
        <v>2015</v>
      </c>
    </row>
    <row r="79" spans="1:7" ht="15.75" thickBot="1">
      <c r="A79" s="75" t="str">
        <f t="shared" si="4"/>
        <v>R12_CHN</v>
      </c>
      <c r="B79" s="78" t="str">
        <f>B78</f>
        <v>spodumene_extraction_import</v>
      </c>
      <c r="C79" s="78" t="s">
        <v>161</v>
      </c>
      <c r="D79" s="2" t="s">
        <v>549</v>
      </c>
      <c r="E79" s="78"/>
      <c r="F79" s="78">
        <v>1</v>
      </c>
      <c r="G79" s="121">
        <v>2015</v>
      </c>
    </row>
    <row r="80" spans="1:7">
      <c r="A80" s="75" t="str">
        <f t="shared" si="4"/>
        <v>R12_CHN</v>
      </c>
      <c r="B80" s="73" t="s">
        <v>479</v>
      </c>
      <c r="C80" s="112" t="s">
        <v>197</v>
      </c>
      <c r="D80" s="2" t="s">
        <v>549</v>
      </c>
      <c r="E80" s="112"/>
      <c r="F80" s="133">
        <v>1</v>
      </c>
      <c r="G80" s="121">
        <v>2015</v>
      </c>
    </row>
    <row r="81" spans="1:7">
      <c r="A81" s="75" t="str">
        <f t="shared" si="4"/>
        <v>R12_CHN</v>
      </c>
      <c r="B81" t="str">
        <f>B80</f>
        <v>spodumene_conversion_export</v>
      </c>
      <c r="C81" t="s">
        <v>335</v>
      </c>
      <c r="D81" s="2" t="s">
        <v>549</v>
      </c>
      <c r="F81">
        <v>1</v>
      </c>
      <c r="G81" s="121">
        <v>2015</v>
      </c>
    </row>
    <row r="82" spans="1:7">
      <c r="A82" s="75" t="str">
        <f t="shared" si="4"/>
        <v>R12_CHN</v>
      </c>
      <c r="B82" t="str">
        <f>B81</f>
        <v>spodumene_conversion_export</v>
      </c>
      <c r="C82" t="s">
        <v>42</v>
      </c>
      <c r="D82" s="2" t="s">
        <v>549</v>
      </c>
      <c r="E82" t="s">
        <v>40</v>
      </c>
      <c r="F82">
        <v>250</v>
      </c>
      <c r="G82" s="121">
        <v>2015</v>
      </c>
    </row>
    <row r="83" spans="1:7">
      <c r="A83" s="75" t="str">
        <f t="shared" si="4"/>
        <v>R12_CHN</v>
      </c>
      <c r="B83" t="str">
        <f>B82</f>
        <v>spodumene_conversion_export</v>
      </c>
      <c r="C83" t="s">
        <v>35</v>
      </c>
      <c r="D83" s="2" t="s">
        <v>549</v>
      </c>
      <c r="E83" t="s">
        <v>36</v>
      </c>
      <c r="F83">
        <v>30</v>
      </c>
      <c r="G83" s="121">
        <v>2015</v>
      </c>
    </row>
    <row r="84" spans="1:7">
      <c r="A84" s="75" t="str">
        <f t="shared" si="4"/>
        <v>R12_CHN</v>
      </c>
      <c r="B84" t="s">
        <v>480</v>
      </c>
      <c r="C84" t="s">
        <v>336</v>
      </c>
      <c r="D84" s="2" t="s">
        <v>549</v>
      </c>
      <c r="F84">
        <v>1</v>
      </c>
      <c r="G84" s="121">
        <v>2015</v>
      </c>
    </row>
    <row r="85" spans="1:7" ht="15.75" thickBot="1">
      <c r="A85" s="75" t="str">
        <f t="shared" si="4"/>
        <v>R12_CHN</v>
      </c>
      <c r="B85" s="78" t="str">
        <f>B84</f>
        <v>spodumene_conversion_import</v>
      </c>
      <c r="C85" s="78" t="s">
        <v>153</v>
      </c>
      <c r="D85" s="2" t="s">
        <v>549</v>
      </c>
      <c r="E85" s="78"/>
      <c r="F85" s="78">
        <v>1</v>
      </c>
      <c r="G85" s="121">
        <v>2015</v>
      </c>
    </row>
    <row r="86" spans="1:7">
      <c r="A86" s="75" t="str">
        <f t="shared" si="4"/>
        <v>R12_CHN</v>
      </c>
      <c r="B86" s="73" t="s">
        <v>481</v>
      </c>
      <c r="C86" s="112" t="s">
        <v>169</v>
      </c>
      <c r="D86" s="2" t="s">
        <v>549</v>
      </c>
      <c r="E86" s="112"/>
      <c r="F86" s="133">
        <v>1</v>
      </c>
      <c r="G86" s="121">
        <v>2015</v>
      </c>
    </row>
    <row r="87" spans="1:7">
      <c r="A87" s="75" t="str">
        <f t="shared" si="4"/>
        <v>R12_CHN</v>
      </c>
      <c r="B87" t="str">
        <f>B86</f>
        <v>HPAL_processing_Ni_export</v>
      </c>
      <c r="C87" t="s">
        <v>363</v>
      </c>
      <c r="D87" s="2" t="s">
        <v>549</v>
      </c>
      <c r="F87">
        <v>1</v>
      </c>
      <c r="G87" s="121">
        <v>2015</v>
      </c>
    </row>
    <row r="88" spans="1:7">
      <c r="A88" s="75" t="str">
        <f t="shared" si="4"/>
        <v>R12_CHN</v>
      </c>
      <c r="B88" t="str">
        <f>B87</f>
        <v>HPAL_processing_Ni_export</v>
      </c>
      <c r="C88" t="s">
        <v>42</v>
      </c>
      <c r="D88" s="2" t="s">
        <v>549</v>
      </c>
      <c r="E88" t="s">
        <v>40</v>
      </c>
      <c r="F88">
        <v>250</v>
      </c>
      <c r="G88" s="121">
        <v>2015</v>
      </c>
    </row>
    <row r="89" spans="1:7">
      <c r="A89" s="75" t="str">
        <f t="shared" si="4"/>
        <v>R12_CHN</v>
      </c>
      <c r="B89" t="str">
        <f>B88</f>
        <v>HPAL_processing_Ni_export</v>
      </c>
      <c r="C89" t="s">
        <v>35</v>
      </c>
      <c r="D89" s="2" t="s">
        <v>549</v>
      </c>
      <c r="E89" t="s">
        <v>36</v>
      </c>
      <c r="F89">
        <v>30</v>
      </c>
      <c r="G89" s="121">
        <v>2015</v>
      </c>
    </row>
    <row r="90" spans="1:7">
      <c r="A90" s="75" t="str">
        <f t="shared" si="4"/>
        <v>R12_CHN</v>
      </c>
      <c r="B90" t="s">
        <v>482</v>
      </c>
      <c r="C90" t="s">
        <v>364</v>
      </c>
      <c r="D90" s="2" t="s">
        <v>549</v>
      </c>
      <c r="F90">
        <v>1</v>
      </c>
      <c r="G90" s="121">
        <v>2015</v>
      </c>
    </row>
    <row r="91" spans="1:7" ht="15.75" thickBot="1">
      <c r="A91" s="75" t="str">
        <f t="shared" si="4"/>
        <v>R12_CHN</v>
      </c>
      <c r="B91" s="78" t="str">
        <f>B90</f>
        <v>HPAL_processing_Ni_import</v>
      </c>
      <c r="C91" s="78" t="s">
        <v>167</v>
      </c>
      <c r="D91" s="2" t="s">
        <v>549</v>
      </c>
      <c r="E91" s="78"/>
      <c r="F91" s="78">
        <v>1</v>
      </c>
      <c r="G91" s="121">
        <v>2015</v>
      </c>
    </row>
    <row r="92" spans="1:7">
      <c r="A92" s="75" t="str">
        <f t="shared" ref="A92:A155" si="8">A91</f>
        <v>R12_CHN</v>
      </c>
      <c r="B92" s="135" t="s">
        <v>483</v>
      </c>
      <c r="C92" s="136" t="s">
        <v>175</v>
      </c>
      <c r="D92" s="2" t="s">
        <v>549</v>
      </c>
      <c r="E92" s="112"/>
      <c r="F92" s="133">
        <v>1</v>
      </c>
      <c r="G92" s="121">
        <v>2015</v>
      </c>
    </row>
    <row r="93" spans="1:7">
      <c r="A93" s="75" t="str">
        <f t="shared" si="8"/>
        <v>R12_CHN</v>
      </c>
      <c r="B93" s="109" t="str">
        <f>B92</f>
        <v>HPAL_processing_Co_export</v>
      </c>
      <c r="C93" s="109" t="s">
        <v>365</v>
      </c>
      <c r="D93" s="2" t="s">
        <v>549</v>
      </c>
      <c r="F93">
        <v>1</v>
      </c>
      <c r="G93" s="121">
        <v>2015</v>
      </c>
    </row>
    <row r="94" spans="1:7">
      <c r="A94" s="75" t="str">
        <f t="shared" si="8"/>
        <v>R12_CHN</v>
      </c>
      <c r="B94" s="109" t="str">
        <f>B93</f>
        <v>HPAL_processing_Co_export</v>
      </c>
      <c r="C94" s="109" t="s">
        <v>42</v>
      </c>
      <c r="D94" s="2" t="s">
        <v>549</v>
      </c>
      <c r="E94" t="s">
        <v>40</v>
      </c>
      <c r="F94">
        <v>250</v>
      </c>
      <c r="G94" s="121">
        <v>2015</v>
      </c>
    </row>
    <row r="95" spans="1:7">
      <c r="A95" s="75" t="str">
        <f t="shared" si="8"/>
        <v>R12_CHN</v>
      </c>
      <c r="B95" s="109" t="str">
        <f>B94</f>
        <v>HPAL_processing_Co_export</v>
      </c>
      <c r="C95" s="109" t="s">
        <v>35</v>
      </c>
      <c r="D95" s="2" t="s">
        <v>549</v>
      </c>
      <c r="E95" t="s">
        <v>36</v>
      </c>
      <c r="F95">
        <v>30</v>
      </c>
      <c r="G95" s="121">
        <v>2015</v>
      </c>
    </row>
    <row r="96" spans="1:7">
      <c r="A96" s="75" t="str">
        <f t="shared" si="8"/>
        <v>R12_CHN</v>
      </c>
      <c r="B96" s="109" t="s">
        <v>484</v>
      </c>
      <c r="C96" s="109" t="s">
        <v>366</v>
      </c>
      <c r="D96" s="2" t="s">
        <v>549</v>
      </c>
      <c r="F96">
        <v>1</v>
      </c>
      <c r="G96" s="121">
        <v>2015</v>
      </c>
    </row>
    <row r="97" spans="1:7" ht="15.75" thickBot="1">
      <c r="A97" s="75" t="str">
        <f t="shared" si="8"/>
        <v>R12_CHN</v>
      </c>
      <c r="B97" s="137" t="str">
        <f>B96</f>
        <v>HPAL_processing_Co_import</v>
      </c>
      <c r="C97" s="137" t="s">
        <v>168</v>
      </c>
      <c r="D97" s="2" t="s">
        <v>549</v>
      </c>
      <c r="E97" s="78"/>
      <c r="F97" s="78">
        <v>1</v>
      </c>
      <c r="G97" s="121">
        <v>2015</v>
      </c>
    </row>
    <row r="98" spans="1:7">
      <c r="A98" s="75" t="str">
        <f t="shared" si="8"/>
        <v>R12_CHN</v>
      </c>
      <c r="B98" s="73" t="s">
        <v>485</v>
      </c>
      <c r="C98" s="112" t="s">
        <v>196</v>
      </c>
      <c r="D98" s="2" t="s">
        <v>549</v>
      </c>
      <c r="E98" s="112"/>
      <c r="F98" s="133">
        <v>1</v>
      </c>
      <c r="G98" s="121">
        <v>2015</v>
      </c>
    </row>
    <row r="99" spans="1:7">
      <c r="A99" s="75" t="str">
        <f t="shared" si="8"/>
        <v>R12_CHN</v>
      </c>
      <c r="B99" t="str">
        <f>B98</f>
        <v>nickel_sulfate_production_export</v>
      </c>
      <c r="C99" t="s">
        <v>339</v>
      </c>
      <c r="D99" s="2" t="s">
        <v>549</v>
      </c>
      <c r="F99">
        <v>1</v>
      </c>
      <c r="G99" s="121">
        <v>2015</v>
      </c>
    </row>
    <row r="100" spans="1:7">
      <c r="A100" s="75" t="str">
        <f t="shared" si="8"/>
        <v>R12_CHN</v>
      </c>
      <c r="B100" t="str">
        <f>B99</f>
        <v>nickel_sulfate_production_export</v>
      </c>
      <c r="C100" t="s">
        <v>42</v>
      </c>
      <c r="D100" s="2" t="s">
        <v>549</v>
      </c>
      <c r="E100" t="s">
        <v>40</v>
      </c>
      <c r="F100">
        <v>250</v>
      </c>
      <c r="G100" s="121">
        <v>2015</v>
      </c>
    </row>
    <row r="101" spans="1:7">
      <c r="A101" s="75" t="str">
        <f t="shared" si="8"/>
        <v>R12_CHN</v>
      </c>
      <c r="B101" t="str">
        <f>B100</f>
        <v>nickel_sulfate_production_export</v>
      </c>
      <c r="C101" t="s">
        <v>35</v>
      </c>
      <c r="D101" s="2" t="s">
        <v>549</v>
      </c>
      <c r="E101" t="s">
        <v>36</v>
      </c>
      <c r="F101">
        <v>30</v>
      </c>
      <c r="G101" s="121">
        <v>2015</v>
      </c>
    </row>
    <row r="102" spans="1:7">
      <c r="A102" s="75" t="str">
        <f t="shared" si="8"/>
        <v>R12_CHN</v>
      </c>
      <c r="B102" t="s">
        <v>486</v>
      </c>
      <c r="C102" t="s">
        <v>340</v>
      </c>
      <c r="D102" s="2" t="s">
        <v>549</v>
      </c>
      <c r="F102">
        <v>1</v>
      </c>
      <c r="G102" s="121">
        <v>2015</v>
      </c>
    </row>
    <row r="103" spans="1:7" ht="15.75" thickBot="1">
      <c r="A103" s="75" t="str">
        <f t="shared" si="8"/>
        <v>R12_CHN</v>
      </c>
      <c r="B103" s="78" t="str">
        <f>B102</f>
        <v>nickel_sulfate_production_import</v>
      </c>
      <c r="C103" s="78" t="s">
        <v>171</v>
      </c>
      <c r="D103" s="2" t="s">
        <v>549</v>
      </c>
      <c r="E103" s="78"/>
      <c r="F103" s="78">
        <v>1</v>
      </c>
      <c r="G103" s="121">
        <v>2015</v>
      </c>
    </row>
    <row r="104" spans="1:7">
      <c r="A104" s="75" t="str">
        <f t="shared" si="8"/>
        <v>R12_CHN</v>
      </c>
      <c r="B104" s="73" t="s">
        <v>487</v>
      </c>
      <c r="C104" s="112" t="s">
        <v>173</v>
      </c>
      <c r="D104" s="2" t="s">
        <v>549</v>
      </c>
      <c r="E104" s="112"/>
      <c r="F104" s="133">
        <v>1</v>
      </c>
      <c r="G104" s="121">
        <v>2015</v>
      </c>
    </row>
    <row r="105" spans="1:7">
      <c r="A105" s="75" t="str">
        <f t="shared" si="8"/>
        <v>R12_CHN</v>
      </c>
      <c r="B105" t="str">
        <f>B104</f>
        <v>Co-Cu_extraction_export</v>
      </c>
      <c r="C105" t="s">
        <v>341</v>
      </c>
      <c r="D105" s="2" t="s">
        <v>549</v>
      </c>
      <c r="F105">
        <v>1</v>
      </c>
      <c r="G105" s="121">
        <v>2015</v>
      </c>
    </row>
    <row r="106" spans="1:7">
      <c r="A106" s="75" t="str">
        <f t="shared" si="8"/>
        <v>R12_CHN</v>
      </c>
      <c r="B106" t="str">
        <f>B105</f>
        <v>Co-Cu_extraction_export</v>
      </c>
      <c r="C106" t="s">
        <v>42</v>
      </c>
      <c r="D106" s="2" t="s">
        <v>549</v>
      </c>
      <c r="E106" t="s">
        <v>40</v>
      </c>
      <c r="F106">
        <v>250</v>
      </c>
      <c r="G106" s="121">
        <v>2015</v>
      </c>
    </row>
    <row r="107" spans="1:7">
      <c r="A107" s="75" t="str">
        <f t="shared" si="8"/>
        <v>R12_CHN</v>
      </c>
      <c r="B107" t="str">
        <f>B106</f>
        <v>Co-Cu_extraction_export</v>
      </c>
      <c r="C107" t="s">
        <v>35</v>
      </c>
      <c r="D107" s="2" t="s">
        <v>549</v>
      </c>
      <c r="E107" t="s">
        <v>36</v>
      </c>
      <c r="F107">
        <v>30</v>
      </c>
      <c r="G107" s="121">
        <v>2015</v>
      </c>
    </row>
    <row r="108" spans="1:7">
      <c r="A108" s="75" t="str">
        <f t="shared" si="8"/>
        <v>R12_CHN</v>
      </c>
      <c r="B108" t="s">
        <v>488</v>
      </c>
      <c r="C108" t="s">
        <v>342</v>
      </c>
      <c r="D108" s="2" t="s">
        <v>549</v>
      </c>
      <c r="F108">
        <v>1</v>
      </c>
      <c r="G108" s="121">
        <v>2015</v>
      </c>
    </row>
    <row r="109" spans="1:7" ht="15.75" thickBot="1">
      <c r="A109" s="75" t="str">
        <f t="shared" si="8"/>
        <v>R12_CHN</v>
      </c>
      <c r="B109" s="78" t="str">
        <f>B108</f>
        <v>Co-Cu_extraction_import</v>
      </c>
      <c r="C109" s="78" t="s">
        <v>172</v>
      </c>
      <c r="D109" s="2" t="s">
        <v>549</v>
      </c>
      <c r="E109" s="78"/>
      <c r="F109" s="78">
        <v>1</v>
      </c>
      <c r="G109" s="121">
        <v>2015</v>
      </c>
    </row>
    <row r="110" spans="1:7">
      <c r="A110" s="75" t="str">
        <f t="shared" si="8"/>
        <v>R12_CHN</v>
      </c>
      <c r="B110" s="151" t="s">
        <v>489</v>
      </c>
      <c r="C110" s="152" t="s">
        <v>175</v>
      </c>
      <c r="D110" s="2" t="s">
        <v>549</v>
      </c>
      <c r="E110" s="112"/>
      <c r="F110" s="133">
        <v>1</v>
      </c>
      <c r="G110" s="121">
        <v>2015</v>
      </c>
    </row>
    <row r="111" spans="1:7">
      <c r="A111" s="75" t="str">
        <f t="shared" si="8"/>
        <v>R12_CHN</v>
      </c>
      <c r="B111" s="153" t="str">
        <f>B110</f>
        <v>hydrometallurgical_CoCu_Co_export</v>
      </c>
      <c r="C111" s="153" t="s">
        <v>365</v>
      </c>
      <c r="D111" s="2" t="s">
        <v>549</v>
      </c>
      <c r="F111">
        <v>1</v>
      </c>
      <c r="G111" s="121">
        <v>2015</v>
      </c>
    </row>
    <row r="112" spans="1:7">
      <c r="A112" s="75" t="str">
        <f t="shared" si="8"/>
        <v>R12_CHN</v>
      </c>
      <c r="B112" s="153" t="str">
        <f>B111</f>
        <v>hydrometallurgical_CoCu_Co_export</v>
      </c>
      <c r="C112" s="153" t="s">
        <v>42</v>
      </c>
      <c r="D112" s="2" t="s">
        <v>549</v>
      </c>
      <c r="E112" t="s">
        <v>40</v>
      </c>
      <c r="F112">
        <v>250</v>
      </c>
      <c r="G112" s="121">
        <v>2015</v>
      </c>
    </row>
    <row r="113" spans="1:7">
      <c r="A113" s="75" t="str">
        <f t="shared" si="8"/>
        <v>R12_CHN</v>
      </c>
      <c r="B113" s="153" t="str">
        <f>B112</f>
        <v>hydrometallurgical_CoCu_Co_export</v>
      </c>
      <c r="C113" s="153" t="s">
        <v>35</v>
      </c>
      <c r="D113" s="2" t="s">
        <v>549</v>
      </c>
      <c r="E113" t="s">
        <v>36</v>
      </c>
      <c r="F113">
        <v>30</v>
      </c>
      <c r="G113" s="121">
        <v>2015</v>
      </c>
    </row>
    <row r="114" spans="1:7">
      <c r="A114" s="75" t="str">
        <f t="shared" si="8"/>
        <v>R12_CHN</v>
      </c>
      <c r="B114" s="153" t="s">
        <v>490</v>
      </c>
      <c r="C114" s="153" t="s">
        <v>366</v>
      </c>
      <c r="D114" s="2" t="s">
        <v>549</v>
      </c>
      <c r="F114">
        <v>1</v>
      </c>
      <c r="G114" s="121">
        <v>2015</v>
      </c>
    </row>
    <row r="115" spans="1:7" ht="15.75" thickBot="1">
      <c r="A115" s="75" t="str">
        <f t="shared" si="8"/>
        <v>R12_CHN</v>
      </c>
      <c r="B115" s="154" t="str">
        <f>B114</f>
        <v>hydrometallurgical_CoCu_Co_import</v>
      </c>
      <c r="C115" s="154" t="s">
        <v>168</v>
      </c>
      <c r="D115" s="2" t="s">
        <v>549</v>
      </c>
      <c r="E115" s="78"/>
      <c r="F115" s="78">
        <v>1</v>
      </c>
      <c r="G115" s="121">
        <v>2015</v>
      </c>
    </row>
    <row r="116" spans="1:7">
      <c r="A116" s="75" t="str">
        <f t="shared" si="8"/>
        <v>R12_CHN</v>
      </c>
      <c r="B116" s="73" t="s">
        <v>546</v>
      </c>
      <c r="C116" s="112" t="s">
        <v>177</v>
      </c>
      <c r="D116" s="2" t="s">
        <v>549</v>
      </c>
      <c r="E116" s="112"/>
      <c r="F116" s="133">
        <v>1</v>
      </c>
      <c r="G116" s="121">
        <v>2015</v>
      </c>
    </row>
    <row r="117" spans="1:7">
      <c r="A117" s="75" t="str">
        <f t="shared" si="8"/>
        <v>R12_CHN</v>
      </c>
      <c r="B117" t="str">
        <f>B116</f>
        <v>hydrometallurgical_CoCu_Cu_export</v>
      </c>
      <c r="C117" t="s">
        <v>367</v>
      </c>
      <c r="D117" s="2" t="s">
        <v>549</v>
      </c>
      <c r="F117">
        <v>1</v>
      </c>
      <c r="G117" s="121">
        <v>2015</v>
      </c>
    </row>
    <row r="118" spans="1:7">
      <c r="A118" s="75" t="str">
        <f t="shared" si="8"/>
        <v>R12_CHN</v>
      </c>
      <c r="B118" t="str">
        <f>B117</f>
        <v>hydrometallurgical_CoCu_Cu_export</v>
      </c>
      <c r="C118" t="s">
        <v>42</v>
      </c>
      <c r="D118" s="2" t="s">
        <v>549</v>
      </c>
      <c r="E118" t="s">
        <v>40</v>
      </c>
      <c r="F118">
        <v>250</v>
      </c>
      <c r="G118" s="121">
        <v>2015</v>
      </c>
    </row>
    <row r="119" spans="1:7">
      <c r="A119" s="75" t="str">
        <f t="shared" si="8"/>
        <v>R12_CHN</v>
      </c>
      <c r="B119" t="str">
        <f>B118</f>
        <v>hydrometallurgical_CoCu_Cu_export</v>
      </c>
      <c r="C119" t="s">
        <v>35</v>
      </c>
      <c r="D119" s="2" t="s">
        <v>549</v>
      </c>
      <c r="E119" t="s">
        <v>36</v>
      </c>
      <c r="F119">
        <v>30</v>
      </c>
      <c r="G119" s="121">
        <v>2015</v>
      </c>
    </row>
    <row r="120" spans="1:7">
      <c r="A120" s="75" t="str">
        <f t="shared" si="8"/>
        <v>R12_CHN</v>
      </c>
      <c r="B120" t="s">
        <v>547</v>
      </c>
      <c r="C120" t="s">
        <v>368</v>
      </c>
      <c r="D120" s="2" t="s">
        <v>549</v>
      </c>
      <c r="F120">
        <v>1</v>
      </c>
      <c r="G120" s="121">
        <v>2015</v>
      </c>
    </row>
    <row r="121" spans="1:7" ht="15.75" thickBot="1">
      <c r="A121" s="75" t="str">
        <f t="shared" si="8"/>
        <v>R12_CHN</v>
      </c>
      <c r="B121" s="78" t="str">
        <f>B120</f>
        <v>hydrometallurgical_CoCu_Cu_import</v>
      </c>
      <c r="C121" s="78" t="s">
        <v>174</v>
      </c>
      <c r="D121" s="2" t="s">
        <v>549</v>
      </c>
      <c r="E121" s="78"/>
      <c r="F121" s="78">
        <v>1</v>
      </c>
      <c r="G121" s="121">
        <v>2015</v>
      </c>
    </row>
    <row r="122" spans="1:7">
      <c r="A122" s="75" t="str">
        <f t="shared" si="8"/>
        <v>R12_CHN</v>
      </c>
      <c r="B122" s="73" t="s">
        <v>491</v>
      </c>
      <c r="C122" s="112" t="s">
        <v>195</v>
      </c>
      <c r="D122" s="2" t="s">
        <v>549</v>
      </c>
      <c r="E122" s="112"/>
      <c r="F122" s="133">
        <v>1</v>
      </c>
      <c r="G122" s="121">
        <v>2015</v>
      </c>
    </row>
    <row r="123" spans="1:7">
      <c r="A123" s="75" t="str">
        <f t="shared" si="8"/>
        <v>R12_CHN</v>
      </c>
      <c r="B123" t="str">
        <f>B122</f>
        <v>cobalt_sulfate_production_export</v>
      </c>
      <c r="C123" t="s">
        <v>343</v>
      </c>
      <c r="D123" s="2" t="s">
        <v>549</v>
      </c>
      <c r="F123">
        <v>1</v>
      </c>
      <c r="G123" s="121">
        <v>2015</v>
      </c>
    </row>
    <row r="124" spans="1:7">
      <c r="A124" s="75" t="str">
        <f t="shared" si="8"/>
        <v>R12_CHN</v>
      </c>
      <c r="B124" t="str">
        <f>B123</f>
        <v>cobalt_sulfate_production_export</v>
      </c>
      <c r="C124" t="s">
        <v>42</v>
      </c>
      <c r="D124" s="2" t="s">
        <v>549</v>
      </c>
      <c r="E124" t="s">
        <v>40</v>
      </c>
      <c r="F124">
        <v>250</v>
      </c>
      <c r="G124" s="121">
        <v>2015</v>
      </c>
    </row>
    <row r="125" spans="1:7">
      <c r="A125" s="75" t="str">
        <f t="shared" si="8"/>
        <v>R12_CHN</v>
      </c>
      <c r="B125" t="str">
        <f>B124</f>
        <v>cobalt_sulfate_production_export</v>
      </c>
      <c r="C125" t="s">
        <v>35</v>
      </c>
      <c r="D125" s="2" t="s">
        <v>549</v>
      </c>
      <c r="E125" t="s">
        <v>36</v>
      </c>
      <c r="F125">
        <v>30</v>
      </c>
      <c r="G125" s="121">
        <v>2015</v>
      </c>
    </row>
    <row r="126" spans="1:7">
      <c r="A126" s="75" t="str">
        <f t="shared" si="8"/>
        <v>R12_CHN</v>
      </c>
      <c r="B126" t="s">
        <v>492</v>
      </c>
      <c r="C126" t="s">
        <v>344</v>
      </c>
      <c r="D126" s="2" t="s">
        <v>549</v>
      </c>
      <c r="F126">
        <v>1</v>
      </c>
      <c r="G126" s="121">
        <v>2015</v>
      </c>
    </row>
    <row r="127" spans="1:7" ht="15.75" thickBot="1">
      <c r="A127" s="75" t="str">
        <f t="shared" si="8"/>
        <v>R12_CHN</v>
      </c>
      <c r="B127" s="78" t="str">
        <f>B126</f>
        <v>cobalt_sulfate_production_import</v>
      </c>
      <c r="C127" s="78" t="s">
        <v>176</v>
      </c>
      <c r="D127" s="2" t="s">
        <v>549</v>
      </c>
      <c r="E127" s="78"/>
      <c r="F127" s="78">
        <v>1</v>
      </c>
      <c r="G127" s="121">
        <v>2015</v>
      </c>
    </row>
    <row r="128" spans="1:7">
      <c r="A128" s="75" t="str">
        <f t="shared" si="8"/>
        <v>R12_CHN</v>
      </c>
      <c r="B128" s="73" t="s">
        <v>493</v>
      </c>
      <c r="C128" s="112" t="s">
        <v>189</v>
      </c>
      <c r="D128" s="2" t="s">
        <v>549</v>
      </c>
      <c r="E128" s="112"/>
      <c r="F128" s="133">
        <v>1</v>
      </c>
      <c r="G128" s="121">
        <v>2015</v>
      </c>
    </row>
    <row r="129" spans="1:8">
      <c r="A129" s="75" t="str">
        <f t="shared" si="8"/>
        <v>R12_CHN</v>
      </c>
      <c r="B129" t="str">
        <f>B128</f>
        <v>Cu_electrowinnng_export</v>
      </c>
      <c r="C129" t="s">
        <v>345</v>
      </c>
      <c r="D129" s="2" t="s">
        <v>549</v>
      </c>
      <c r="F129">
        <v>1</v>
      </c>
      <c r="G129" s="121">
        <v>2015</v>
      </c>
    </row>
    <row r="130" spans="1:8">
      <c r="A130" s="75" t="str">
        <f t="shared" si="8"/>
        <v>R12_CHN</v>
      </c>
      <c r="B130" t="str">
        <f>B129</f>
        <v>Cu_electrowinnng_export</v>
      </c>
      <c r="C130" t="s">
        <v>42</v>
      </c>
      <c r="D130" s="2" t="s">
        <v>549</v>
      </c>
      <c r="E130" t="s">
        <v>40</v>
      </c>
      <c r="F130">
        <v>250</v>
      </c>
      <c r="G130" s="121">
        <v>2015</v>
      </c>
    </row>
    <row r="131" spans="1:8">
      <c r="A131" s="75" t="str">
        <f t="shared" si="8"/>
        <v>R12_CHN</v>
      </c>
      <c r="B131" t="str">
        <f>B130</f>
        <v>Cu_electrowinnng_export</v>
      </c>
      <c r="C131" t="s">
        <v>35</v>
      </c>
      <c r="D131" s="2" t="s">
        <v>549</v>
      </c>
      <c r="E131" t="s">
        <v>36</v>
      </c>
      <c r="F131">
        <v>30</v>
      </c>
      <c r="G131" s="121">
        <v>2015</v>
      </c>
    </row>
    <row r="132" spans="1:8">
      <c r="A132" s="75" t="str">
        <f t="shared" si="8"/>
        <v>R12_CHN</v>
      </c>
      <c r="B132" t="s">
        <v>494</v>
      </c>
      <c r="C132" t="s">
        <v>346</v>
      </c>
      <c r="D132" s="2" t="s">
        <v>549</v>
      </c>
      <c r="F132">
        <v>1</v>
      </c>
      <c r="G132" s="121">
        <v>2015</v>
      </c>
    </row>
    <row r="133" spans="1:8" ht="15.75" thickBot="1">
      <c r="A133" s="75" t="str">
        <f t="shared" si="8"/>
        <v>R12_CHN</v>
      </c>
      <c r="B133" s="78" t="str">
        <f>B132</f>
        <v>Cu_electrowinnng_import</v>
      </c>
      <c r="C133" s="78" t="s">
        <v>178</v>
      </c>
      <c r="D133" s="2" t="s">
        <v>549</v>
      </c>
      <c r="E133" s="78"/>
      <c r="F133" s="78">
        <v>1</v>
      </c>
      <c r="G133" s="121">
        <v>2015</v>
      </c>
    </row>
    <row r="134" spans="1:8">
      <c r="A134" s="145" t="str">
        <f t="shared" si="8"/>
        <v>R12_CHN</v>
      </c>
      <c r="B134" s="146" t="s">
        <v>495</v>
      </c>
      <c r="C134" s="147" t="s">
        <v>189</v>
      </c>
      <c r="D134" s="2" t="s">
        <v>549</v>
      </c>
      <c r="E134" s="147"/>
      <c r="F134" s="148">
        <v>1</v>
      </c>
      <c r="G134" s="121">
        <v>2015</v>
      </c>
      <c r="H134" t="s">
        <v>455</v>
      </c>
    </row>
    <row r="135" spans="1:8">
      <c r="A135" s="145" t="str">
        <f t="shared" si="8"/>
        <v>R12_CHN</v>
      </c>
      <c r="B135" s="149" t="str">
        <f>B134</f>
        <v>Cu_heapleaching_export</v>
      </c>
      <c r="C135" s="149" t="s">
        <v>345</v>
      </c>
      <c r="D135" s="2" t="s">
        <v>549</v>
      </c>
      <c r="E135" s="149"/>
      <c r="F135" s="149">
        <v>1</v>
      </c>
      <c r="G135" s="121">
        <v>2015</v>
      </c>
    </row>
    <row r="136" spans="1:8">
      <c r="A136" s="145" t="str">
        <f t="shared" si="8"/>
        <v>R12_CHN</v>
      </c>
      <c r="B136" s="149" t="str">
        <f>B135</f>
        <v>Cu_heapleaching_export</v>
      </c>
      <c r="C136" s="149" t="s">
        <v>42</v>
      </c>
      <c r="D136" s="2" t="s">
        <v>549</v>
      </c>
      <c r="E136" s="149" t="s">
        <v>40</v>
      </c>
      <c r="F136" s="149">
        <v>250</v>
      </c>
      <c r="G136" s="121">
        <v>2015</v>
      </c>
    </row>
    <row r="137" spans="1:8">
      <c r="A137" s="145" t="str">
        <f t="shared" si="8"/>
        <v>R12_CHN</v>
      </c>
      <c r="B137" s="149" t="str">
        <f>B136</f>
        <v>Cu_heapleaching_export</v>
      </c>
      <c r="C137" s="149" t="s">
        <v>35</v>
      </c>
      <c r="D137" s="2" t="s">
        <v>549</v>
      </c>
      <c r="E137" s="149" t="s">
        <v>36</v>
      </c>
      <c r="F137" s="149">
        <v>30</v>
      </c>
      <c r="G137" s="121">
        <v>2015</v>
      </c>
    </row>
    <row r="138" spans="1:8">
      <c r="A138" s="145" t="str">
        <f t="shared" si="8"/>
        <v>R12_CHN</v>
      </c>
      <c r="B138" s="149" t="s">
        <v>496</v>
      </c>
      <c r="C138" s="149" t="s">
        <v>346</v>
      </c>
      <c r="D138" s="2" t="s">
        <v>549</v>
      </c>
      <c r="E138" s="149"/>
      <c r="F138" s="149">
        <v>1</v>
      </c>
      <c r="G138" s="121">
        <v>2015</v>
      </c>
    </row>
    <row r="139" spans="1:8" ht="15.75" thickBot="1">
      <c r="A139" s="145" t="str">
        <f t="shared" si="8"/>
        <v>R12_CHN</v>
      </c>
      <c r="B139" s="150" t="str">
        <f>B138</f>
        <v>Cu_heapleaching_import</v>
      </c>
      <c r="C139" s="150" t="s">
        <v>178</v>
      </c>
      <c r="D139" s="2" t="s">
        <v>549</v>
      </c>
      <c r="E139" s="150"/>
      <c r="F139" s="150">
        <v>1</v>
      </c>
      <c r="G139" s="121">
        <v>2015</v>
      </c>
    </row>
    <row r="140" spans="1:8">
      <c r="A140" s="75" t="str">
        <f t="shared" si="8"/>
        <v>R12_CHN</v>
      </c>
      <c r="B140" s="73" t="s">
        <v>497</v>
      </c>
      <c r="C140" s="112" t="s">
        <v>203</v>
      </c>
      <c r="D140" s="2" t="s">
        <v>549</v>
      </c>
      <c r="E140" s="112"/>
      <c r="F140" s="133">
        <v>1</v>
      </c>
      <c r="G140" s="121">
        <v>2015</v>
      </c>
    </row>
    <row r="141" spans="1:8">
      <c r="A141" s="75" t="str">
        <f t="shared" si="8"/>
        <v>R12_CHN</v>
      </c>
      <c r="B141" t="str">
        <f>B140</f>
        <v>NMC811_anode_export</v>
      </c>
      <c r="C141" t="s">
        <v>347</v>
      </c>
      <c r="D141" s="2" t="s">
        <v>549</v>
      </c>
      <c r="F141">
        <v>1</v>
      </c>
      <c r="G141" s="121">
        <v>2015</v>
      </c>
    </row>
    <row r="142" spans="1:8">
      <c r="A142" s="75" t="str">
        <f t="shared" si="8"/>
        <v>R12_CHN</v>
      </c>
      <c r="B142" t="str">
        <f>B141</f>
        <v>NMC811_anode_export</v>
      </c>
      <c r="C142" t="s">
        <v>42</v>
      </c>
      <c r="D142" s="2" t="s">
        <v>549</v>
      </c>
      <c r="E142" t="s">
        <v>40</v>
      </c>
      <c r="F142">
        <v>250</v>
      </c>
      <c r="G142" s="121">
        <v>2015</v>
      </c>
    </row>
    <row r="143" spans="1:8">
      <c r="A143" s="75" t="str">
        <f t="shared" si="8"/>
        <v>R12_CHN</v>
      </c>
      <c r="B143" t="str">
        <f>B142</f>
        <v>NMC811_anode_export</v>
      </c>
      <c r="C143" t="s">
        <v>35</v>
      </c>
      <c r="D143" s="2" t="s">
        <v>549</v>
      </c>
      <c r="E143" t="s">
        <v>36</v>
      </c>
      <c r="F143">
        <v>30</v>
      </c>
      <c r="G143" s="121">
        <v>2015</v>
      </c>
    </row>
    <row r="144" spans="1:8">
      <c r="A144" s="75" t="str">
        <f t="shared" si="8"/>
        <v>R12_CHN</v>
      </c>
      <c r="B144" t="s">
        <v>498</v>
      </c>
      <c r="C144" t="s">
        <v>348</v>
      </c>
      <c r="D144" s="2" t="s">
        <v>549</v>
      </c>
      <c r="F144">
        <v>1</v>
      </c>
      <c r="G144" s="121">
        <v>2015</v>
      </c>
    </row>
    <row r="145" spans="1:7" ht="15.75" thickBot="1">
      <c r="A145" s="75" t="str">
        <f t="shared" si="8"/>
        <v>R12_CHN</v>
      </c>
      <c r="B145" s="78" t="str">
        <f>B144</f>
        <v>NMC811_anode_import</v>
      </c>
      <c r="C145" s="78" t="s">
        <v>190</v>
      </c>
      <c r="D145" s="2" t="s">
        <v>549</v>
      </c>
      <c r="E145" s="78"/>
      <c r="F145" s="78">
        <v>1</v>
      </c>
      <c r="G145" s="121">
        <v>2015</v>
      </c>
    </row>
    <row r="146" spans="1:7">
      <c r="A146" s="75" t="str">
        <f t="shared" si="8"/>
        <v>R12_CHN</v>
      </c>
      <c r="B146" s="73" t="s">
        <v>499</v>
      </c>
      <c r="C146" s="112" t="s">
        <v>205</v>
      </c>
      <c r="D146" s="2" t="s">
        <v>549</v>
      </c>
      <c r="E146" s="112"/>
      <c r="F146" s="133">
        <v>1</v>
      </c>
      <c r="G146" s="121">
        <v>2015</v>
      </c>
    </row>
    <row r="147" spans="1:7">
      <c r="A147" s="75" t="str">
        <f t="shared" si="8"/>
        <v>R12_CHN</v>
      </c>
      <c r="B147" t="str">
        <f>B146</f>
        <v>NMC811_cathode_export</v>
      </c>
      <c r="C147" t="s">
        <v>349</v>
      </c>
      <c r="D147" s="2" t="s">
        <v>549</v>
      </c>
      <c r="F147">
        <v>1</v>
      </c>
      <c r="G147" s="121">
        <v>2015</v>
      </c>
    </row>
    <row r="148" spans="1:7">
      <c r="A148" s="75" t="str">
        <f t="shared" si="8"/>
        <v>R12_CHN</v>
      </c>
      <c r="B148" t="str">
        <f>B147</f>
        <v>NMC811_cathode_export</v>
      </c>
      <c r="C148" t="s">
        <v>42</v>
      </c>
      <c r="D148" s="2" t="s">
        <v>549</v>
      </c>
      <c r="E148" t="s">
        <v>40</v>
      </c>
      <c r="F148">
        <v>250</v>
      </c>
      <c r="G148" s="121">
        <v>2015</v>
      </c>
    </row>
    <row r="149" spans="1:7">
      <c r="A149" s="75" t="str">
        <f t="shared" si="8"/>
        <v>R12_CHN</v>
      </c>
      <c r="B149" t="str">
        <f>B148</f>
        <v>NMC811_cathode_export</v>
      </c>
      <c r="C149" t="s">
        <v>35</v>
      </c>
      <c r="D149" s="2" t="s">
        <v>549</v>
      </c>
      <c r="E149" t="s">
        <v>36</v>
      </c>
      <c r="F149">
        <v>30</v>
      </c>
      <c r="G149" s="121">
        <v>2015</v>
      </c>
    </row>
    <row r="150" spans="1:7">
      <c r="A150" s="75" t="str">
        <f t="shared" si="8"/>
        <v>R12_CHN</v>
      </c>
      <c r="B150" t="s">
        <v>500</v>
      </c>
      <c r="C150" t="s">
        <v>350</v>
      </c>
      <c r="D150" s="2" t="s">
        <v>549</v>
      </c>
      <c r="F150">
        <v>1</v>
      </c>
      <c r="G150" s="121">
        <v>2015</v>
      </c>
    </row>
    <row r="151" spans="1:7" ht="15.75" thickBot="1">
      <c r="A151" s="75" t="str">
        <f t="shared" si="8"/>
        <v>R12_CHN</v>
      </c>
      <c r="B151" s="78" t="str">
        <f>B150</f>
        <v>NMC811_cathode_import</v>
      </c>
      <c r="C151" s="78" t="s">
        <v>199</v>
      </c>
      <c r="D151" s="2" t="s">
        <v>549</v>
      </c>
      <c r="E151" s="78"/>
      <c r="F151" s="78">
        <v>1</v>
      </c>
      <c r="G151" s="121">
        <v>2015</v>
      </c>
    </row>
    <row r="152" spans="1:7">
      <c r="A152" s="75" t="str">
        <f t="shared" si="8"/>
        <v>R12_CHN</v>
      </c>
      <c r="B152" s="73" t="s">
        <v>501</v>
      </c>
      <c r="C152" s="112" t="s">
        <v>208</v>
      </c>
      <c r="D152" s="2" t="s">
        <v>549</v>
      </c>
      <c r="E152" s="112"/>
      <c r="F152" s="133">
        <v>1</v>
      </c>
      <c r="G152" s="121">
        <v>2015</v>
      </c>
    </row>
    <row r="153" spans="1:7">
      <c r="A153" s="75" t="str">
        <f t="shared" si="8"/>
        <v>R12_CHN</v>
      </c>
      <c r="B153" t="str">
        <f>B152</f>
        <v>NMC622_anode_export</v>
      </c>
      <c r="C153" t="s">
        <v>351</v>
      </c>
      <c r="D153" s="2" t="s">
        <v>549</v>
      </c>
      <c r="F153">
        <v>1</v>
      </c>
      <c r="G153" s="121">
        <v>2015</v>
      </c>
    </row>
    <row r="154" spans="1:7">
      <c r="A154" s="75" t="str">
        <f t="shared" si="8"/>
        <v>R12_CHN</v>
      </c>
      <c r="B154" t="str">
        <f>B153</f>
        <v>NMC622_anode_export</v>
      </c>
      <c r="C154" t="s">
        <v>42</v>
      </c>
      <c r="D154" s="2" t="s">
        <v>549</v>
      </c>
      <c r="E154" t="s">
        <v>40</v>
      </c>
      <c r="F154">
        <v>250</v>
      </c>
      <c r="G154" s="121">
        <v>2015</v>
      </c>
    </row>
    <row r="155" spans="1:7">
      <c r="A155" s="75" t="str">
        <f t="shared" si="8"/>
        <v>R12_CHN</v>
      </c>
      <c r="B155" t="str">
        <f>B154</f>
        <v>NMC622_anode_export</v>
      </c>
      <c r="C155" t="s">
        <v>35</v>
      </c>
      <c r="D155" s="2" t="s">
        <v>549</v>
      </c>
      <c r="E155" t="s">
        <v>36</v>
      </c>
      <c r="F155">
        <v>30</v>
      </c>
      <c r="G155" s="121">
        <v>2015</v>
      </c>
    </row>
    <row r="156" spans="1:7">
      <c r="A156" s="75" t="str">
        <f t="shared" ref="A156:A187" si="9">A155</f>
        <v>R12_CHN</v>
      </c>
      <c r="B156" t="s">
        <v>502</v>
      </c>
      <c r="C156" t="s">
        <v>352</v>
      </c>
      <c r="D156" s="2" t="s">
        <v>549</v>
      </c>
      <c r="F156">
        <v>1</v>
      </c>
      <c r="G156" s="121">
        <v>2015</v>
      </c>
    </row>
    <row r="157" spans="1:7" ht="15.75" thickBot="1">
      <c r="A157" s="75" t="str">
        <f t="shared" si="9"/>
        <v>R12_CHN</v>
      </c>
      <c r="B157" s="78" t="str">
        <f>B156</f>
        <v>NMC622_anode_import</v>
      </c>
      <c r="C157" s="78" t="s">
        <v>191</v>
      </c>
      <c r="D157" s="2" t="s">
        <v>549</v>
      </c>
      <c r="E157" s="78"/>
      <c r="F157" s="78">
        <v>1</v>
      </c>
      <c r="G157" s="121">
        <v>2015</v>
      </c>
    </row>
    <row r="158" spans="1:7">
      <c r="A158" s="75" t="str">
        <f t="shared" si="9"/>
        <v>R12_CHN</v>
      </c>
      <c r="B158" s="73" t="s">
        <v>503</v>
      </c>
      <c r="C158" s="112" t="s">
        <v>211</v>
      </c>
      <c r="D158" s="2" t="s">
        <v>549</v>
      </c>
      <c r="E158" s="112"/>
      <c r="F158" s="133">
        <v>1</v>
      </c>
      <c r="G158" s="121">
        <v>2015</v>
      </c>
    </row>
    <row r="159" spans="1:7">
      <c r="A159" s="75" t="str">
        <f t="shared" si="9"/>
        <v>R12_CHN</v>
      </c>
      <c r="B159" t="str">
        <f>B158</f>
        <v>LFP_anode_export</v>
      </c>
      <c r="C159" t="s">
        <v>353</v>
      </c>
      <c r="D159" s="2" t="s">
        <v>549</v>
      </c>
      <c r="F159">
        <v>1</v>
      </c>
      <c r="G159" s="121">
        <v>2015</v>
      </c>
    </row>
    <row r="160" spans="1:7">
      <c r="A160" s="75" t="str">
        <f t="shared" si="9"/>
        <v>R12_CHN</v>
      </c>
      <c r="B160" t="str">
        <f>B159</f>
        <v>LFP_anode_export</v>
      </c>
      <c r="C160" t="s">
        <v>42</v>
      </c>
      <c r="D160" s="2" t="s">
        <v>549</v>
      </c>
      <c r="E160" t="s">
        <v>40</v>
      </c>
      <c r="F160">
        <v>250</v>
      </c>
      <c r="G160" s="121">
        <v>2015</v>
      </c>
    </row>
    <row r="161" spans="1:7">
      <c r="A161" s="75" t="str">
        <f t="shared" si="9"/>
        <v>R12_CHN</v>
      </c>
      <c r="B161" t="str">
        <f>B160</f>
        <v>LFP_anode_export</v>
      </c>
      <c r="C161" t="s">
        <v>35</v>
      </c>
      <c r="D161" s="2" t="s">
        <v>549</v>
      </c>
      <c r="E161" t="s">
        <v>36</v>
      </c>
      <c r="F161">
        <v>30</v>
      </c>
      <c r="G161" s="121">
        <v>2015</v>
      </c>
    </row>
    <row r="162" spans="1:7">
      <c r="A162" s="75" t="str">
        <f t="shared" si="9"/>
        <v>R12_CHN</v>
      </c>
      <c r="B162" t="s">
        <v>504</v>
      </c>
      <c r="C162" t="s">
        <v>354</v>
      </c>
      <c r="D162" s="2" t="s">
        <v>549</v>
      </c>
      <c r="F162">
        <v>1</v>
      </c>
      <c r="G162" s="121">
        <v>2015</v>
      </c>
    </row>
    <row r="163" spans="1:7" ht="15.75" thickBot="1">
      <c r="A163" s="75" t="str">
        <f t="shared" si="9"/>
        <v>R12_CHN</v>
      </c>
      <c r="B163" s="78" t="str">
        <f>B162</f>
        <v>LFP_anode_import</v>
      </c>
      <c r="C163" s="78" t="s">
        <v>193</v>
      </c>
      <c r="D163" s="2" t="s">
        <v>549</v>
      </c>
      <c r="E163" s="78"/>
      <c r="F163" s="78">
        <v>1</v>
      </c>
      <c r="G163" s="121">
        <v>2015</v>
      </c>
    </row>
    <row r="164" spans="1:7">
      <c r="A164" s="75" t="str">
        <f t="shared" si="9"/>
        <v>R12_CHN</v>
      </c>
      <c r="B164" s="73" t="s">
        <v>505</v>
      </c>
      <c r="C164" s="112" t="s">
        <v>214</v>
      </c>
      <c r="D164" s="2" t="s">
        <v>549</v>
      </c>
      <c r="E164" s="112"/>
      <c r="F164" s="133">
        <v>1</v>
      </c>
      <c r="G164" s="121">
        <v>2015</v>
      </c>
    </row>
    <row r="165" spans="1:7">
      <c r="A165" s="75" t="str">
        <f t="shared" si="9"/>
        <v>R12_CHN</v>
      </c>
      <c r="B165" t="str">
        <f>B164</f>
        <v>NCA_anode_export</v>
      </c>
      <c r="C165" t="s">
        <v>355</v>
      </c>
      <c r="D165" s="2" t="s">
        <v>549</v>
      </c>
      <c r="F165">
        <v>1</v>
      </c>
      <c r="G165" s="121">
        <v>2015</v>
      </c>
    </row>
    <row r="166" spans="1:7">
      <c r="A166" s="75" t="str">
        <f t="shared" si="9"/>
        <v>R12_CHN</v>
      </c>
      <c r="B166" t="str">
        <f>B165</f>
        <v>NCA_anode_export</v>
      </c>
      <c r="C166" t="s">
        <v>42</v>
      </c>
      <c r="D166" s="2" t="s">
        <v>549</v>
      </c>
      <c r="E166" t="s">
        <v>40</v>
      </c>
      <c r="F166">
        <v>250</v>
      </c>
      <c r="G166" s="121">
        <v>2015</v>
      </c>
    </row>
    <row r="167" spans="1:7">
      <c r="A167" s="75" t="str">
        <f t="shared" si="9"/>
        <v>R12_CHN</v>
      </c>
      <c r="B167" t="str">
        <f>B166</f>
        <v>NCA_anode_export</v>
      </c>
      <c r="C167" t="s">
        <v>35</v>
      </c>
      <c r="D167" s="2" t="s">
        <v>549</v>
      </c>
      <c r="E167" t="s">
        <v>36</v>
      </c>
      <c r="F167">
        <v>30</v>
      </c>
      <c r="G167" s="121">
        <v>2015</v>
      </c>
    </row>
    <row r="168" spans="1:7">
      <c r="A168" s="75" t="str">
        <f t="shared" si="9"/>
        <v>R12_CHN</v>
      </c>
      <c r="B168" t="s">
        <v>506</v>
      </c>
      <c r="C168" t="s">
        <v>356</v>
      </c>
      <c r="D168" s="2" t="s">
        <v>549</v>
      </c>
      <c r="F168">
        <v>1</v>
      </c>
      <c r="G168" s="121">
        <v>2015</v>
      </c>
    </row>
    <row r="169" spans="1:7" ht="15.75" thickBot="1">
      <c r="A169" s="75" t="str">
        <f t="shared" si="9"/>
        <v>R12_CHN</v>
      </c>
      <c r="B169" s="78" t="str">
        <f>B168</f>
        <v>NCA_anode_import</v>
      </c>
      <c r="C169" s="78" t="s">
        <v>194</v>
      </c>
      <c r="D169" s="2" t="s">
        <v>549</v>
      </c>
      <c r="E169" s="78"/>
      <c r="F169" s="78">
        <v>1</v>
      </c>
      <c r="G169" s="121">
        <v>2015</v>
      </c>
    </row>
    <row r="170" spans="1:7">
      <c r="A170" s="75" t="str">
        <f t="shared" si="9"/>
        <v>R12_CHN</v>
      </c>
      <c r="B170" s="73" t="s">
        <v>507</v>
      </c>
      <c r="C170" s="112" t="s">
        <v>209</v>
      </c>
      <c r="D170" s="2" t="s">
        <v>549</v>
      </c>
      <c r="E170" s="112"/>
      <c r="F170" s="133">
        <v>1</v>
      </c>
      <c r="G170" s="121">
        <v>2015</v>
      </c>
    </row>
    <row r="171" spans="1:7">
      <c r="A171" s="75" t="str">
        <f t="shared" si="9"/>
        <v>R12_CHN</v>
      </c>
      <c r="B171" t="str">
        <f>B170</f>
        <v>NMC622_cathode_export</v>
      </c>
      <c r="C171" t="s">
        <v>357</v>
      </c>
      <c r="D171" s="2" t="s">
        <v>549</v>
      </c>
      <c r="F171">
        <v>1</v>
      </c>
      <c r="G171" s="121">
        <v>2015</v>
      </c>
    </row>
    <row r="172" spans="1:7">
      <c r="A172" s="75" t="str">
        <f t="shared" si="9"/>
        <v>R12_CHN</v>
      </c>
      <c r="B172" t="str">
        <f>B171</f>
        <v>NMC622_cathode_export</v>
      </c>
      <c r="C172" t="s">
        <v>42</v>
      </c>
      <c r="D172" s="2" t="s">
        <v>549</v>
      </c>
      <c r="E172" t="s">
        <v>40</v>
      </c>
      <c r="F172">
        <v>250</v>
      </c>
      <c r="G172" s="121">
        <v>2015</v>
      </c>
    </row>
    <row r="173" spans="1:7">
      <c r="A173" s="75" t="str">
        <f t="shared" si="9"/>
        <v>R12_CHN</v>
      </c>
      <c r="B173" t="str">
        <f>B172</f>
        <v>NMC622_cathode_export</v>
      </c>
      <c r="C173" t="s">
        <v>35</v>
      </c>
      <c r="D173" s="2" t="s">
        <v>549</v>
      </c>
      <c r="E173" t="s">
        <v>36</v>
      </c>
      <c r="F173">
        <v>30</v>
      </c>
      <c r="G173" s="121">
        <v>2015</v>
      </c>
    </row>
    <row r="174" spans="1:7">
      <c r="A174" s="75" t="str">
        <f t="shared" si="9"/>
        <v>R12_CHN</v>
      </c>
      <c r="B174" t="s">
        <v>508</v>
      </c>
      <c r="C174" t="s">
        <v>358</v>
      </c>
      <c r="D174" s="2" t="s">
        <v>549</v>
      </c>
      <c r="F174">
        <v>1</v>
      </c>
      <c r="G174" s="121">
        <v>2015</v>
      </c>
    </row>
    <row r="175" spans="1:7" ht="15.75" thickBot="1">
      <c r="A175" s="75" t="str">
        <f t="shared" si="9"/>
        <v>R12_CHN</v>
      </c>
      <c r="B175" s="78" t="str">
        <f>B174</f>
        <v>NMC622_cathode_import</v>
      </c>
      <c r="C175" s="78" t="s">
        <v>200</v>
      </c>
      <c r="D175" s="2" t="s">
        <v>549</v>
      </c>
      <c r="E175" s="78"/>
      <c r="F175" s="78">
        <v>1</v>
      </c>
      <c r="G175" s="121">
        <v>2015</v>
      </c>
    </row>
    <row r="176" spans="1:7">
      <c r="A176" s="75" t="str">
        <f t="shared" si="9"/>
        <v>R12_CHN</v>
      </c>
      <c r="B176" s="73" t="s">
        <v>509</v>
      </c>
      <c r="C176" s="112" t="s">
        <v>212</v>
      </c>
      <c r="D176" s="2" t="s">
        <v>549</v>
      </c>
      <c r="E176" s="112"/>
      <c r="F176" s="133">
        <v>1</v>
      </c>
      <c r="G176" s="121">
        <v>2015</v>
      </c>
    </row>
    <row r="177" spans="1:7">
      <c r="A177" s="75" t="str">
        <f t="shared" si="9"/>
        <v>R12_CHN</v>
      </c>
      <c r="B177" t="str">
        <f>B176</f>
        <v>LFP_cathode_export</v>
      </c>
      <c r="C177" t="s">
        <v>359</v>
      </c>
      <c r="D177" s="2" t="s">
        <v>549</v>
      </c>
      <c r="F177">
        <v>1</v>
      </c>
      <c r="G177" s="121">
        <v>2015</v>
      </c>
    </row>
    <row r="178" spans="1:7">
      <c r="A178" s="75" t="str">
        <f t="shared" si="9"/>
        <v>R12_CHN</v>
      </c>
      <c r="B178" t="str">
        <f>B177</f>
        <v>LFP_cathode_export</v>
      </c>
      <c r="C178" t="s">
        <v>42</v>
      </c>
      <c r="D178" s="2" t="s">
        <v>549</v>
      </c>
      <c r="E178" t="s">
        <v>40</v>
      </c>
      <c r="F178">
        <v>250</v>
      </c>
      <c r="G178" s="121">
        <v>2015</v>
      </c>
    </row>
    <row r="179" spans="1:7">
      <c r="A179" s="75" t="str">
        <f t="shared" si="9"/>
        <v>R12_CHN</v>
      </c>
      <c r="B179" t="str">
        <f>B178</f>
        <v>LFP_cathode_export</v>
      </c>
      <c r="C179" t="s">
        <v>35</v>
      </c>
      <c r="D179" s="2" t="s">
        <v>549</v>
      </c>
      <c r="E179" t="s">
        <v>36</v>
      </c>
      <c r="F179">
        <v>30</v>
      </c>
      <c r="G179" s="121">
        <v>2015</v>
      </c>
    </row>
    <row r="180" spans="1:7">
      <c r="A180" s="75" t="str">
        <f t="shared" si="9"/>
        <v>R12_CHN</v>
      </c>
      <c r="B180" t="s">
        <v>510</v>
      </c>
      <c r="C180" t="s">
        <v>360</v>
      </c>
      <c r="D180" s="2" t="s">
        <v>549</v>
      </c>
      <c r="F180">
        <v>1</v>
      </c>
      <c r="G180" s="121">
        <v>2015</v>
      </c>
    </row>
    <row r="181" spans="1:7" ht="15.75" thickBot="1">
      <c r="A181" s="75" t="str">
        <f t="shared" si="9"/>
        <v>R12_CHN</v>
      </c>
      <c r="B181" s="78" t="str">
        <f>B180</f>
        <v>LFP_cathode_import</v>
      </c>
      <c r="C181" s="78" t="s">
        <v>201</v>
      </c>
      <c r="D181" s="2" t="s">
        <v>549</v>
      </c>
      <c r="E181" s="78"/>
      <c r="F181" s="78">
        <v>1</v>
      </c>
      <c r="G181" s="121">
        <v>2015</v>
      </c>
    </row>
    <row r="182" spans="1:7">
      <c r="A182" s="75" t="str">
        <f t="shared" si="9"/>
        <v>R12_CHN</v>
      </c>
      <c r="B182" s="73" t="s">
        <v>511</v>
      </c>
      <c r="C182" s="112" t="s">
        <v>215</v>
      </c>
      <c r="D182" s="2" t="s">
        <v>549</v>
      </c>
      <c r="E182" s="112"/>
      <c r="F182" s="133">
        <v>1</v>
      </c>
      <c r="G182" s="121">
        <v>2015</v>
      </c>
    </row>
    <row r="183" spans="1:7">
      <c r="A183" s="75" t="str">
        <f t="shared" si="9"/>
        <v>R12_CHN</v>
      </c>
      <c r="B183" t="str">
        <f>B182</f>
        <v>NCA_cathode_export</v>
      </c>
      <c r="C183" t="s">
        <v>361</v>
      </c>
      <c r="D183" s="2" t="s">
        <v>549</v>
      </c>
      <c r="F183">
        <v>1</v>
      </c>
      <c r="G183" s="121">
        <v>2015</v>
      </c>
    </row>
    <row r="184" spans="1:7">
      <c r="A184" s="75" t="str">
        <f t="shared" si="9"/>
        <v>R12_CHN</v>
      </c>
      <c r="B184" t="str">
        <f>B183</f>
        <v>NCA_cathode_export</v>
      </c>
      <c r="C184" t="s">
        <v>42</v>
      </c>
      <c r="D184" s="2" t="s">
        <v>549</v>
      </c>
      <c r="E184" t="s">
        <v>40</v>
      </c>
      <c r="F184">
        <v>250</v>
      </c>
      <c r="G184" s="121">
        <v>2015</v>
      </c>
    </row>
    <row r="185" spans="1:7">
      <c r="A185" s="75" t="str">
        <f t="shared" si="9"/>
        <v>R12_CHN</v>
      </c>
      <c r="B185" t="str">
        <f>B184</f>
        <v>NCA_cathode_export</v>
      </c>
      <c r="C185" t="s">
        <v>35</v>
      </c>
      <c r="D185" s="2" t="s">
        <v>549</v>
      </c>
      <c r="E185" t="s">
        <v>36</v>
      </c>
      <c r="F185">
        <v>30</v>
      </c>
      <c r="G185" s="121">
        <v>2015</v>
      </c>
    </row>
    <row r="186" spans="1:7">
      <c r="A186" s="75" t="str">
        <f t="shared" si="9"/>
        <v>R12_CHN</v>
      </c>
      <c r="B186" t="s">
        <v>512</v>
      </c>
      <c r="C186" t="s">
        <v>362</v>
      </c>
      <c r="D186" s="2" t="s">
        <v>549</v>
      </c>
      <c r="F186">
        <v>1</v>
      </c>
      <c r="G186" s="121">
        <v>2015</v>
      </c>
    </row>
    <row r="187" spans="1:7" ht="15.75" thickBot="1">
      <c r="A187" s="75" t="str">
        <f t="shared" si="9"/>
        <v>R12_CHN</v>
      </c>
      <c r="B187" s="78" t="str">
        <f>B186</f>
        <v>NCA_cathode_import</v>
      </c>
      <c r="C187" s="78" t="s">
        <v>202</v>
      </c>
      <c r="D187" s="2" t="s">
        <v>549</v>
      </c>
      <c r="E187" s="78"/>
      <c r="F187" s="78">
        <v>1</v>
      </c>
      <c r="G187" s="121">
        <v>2015</v>
      </c>
    </row>
  </sheetData>
  <autoFilter ref="A1:I1" xr:uid="{180FA46F-9564-41F4-8C14-7A5A89FFAFAD}"/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27B14-3DDB-453B-ACB0-9AC3825849AC}">
  <dimension ref="A1:H86"/>
  <sheetViews>
    <sheetView workbookViewId="0">
      <selection activeCell="D2" sqref="D2:D85"/>
    </sheetView>
  </sheetViews>
  <sheetFormatPr defaultRowHeight="15"/>
  <cols>
    <col min="1" max="1" width="17.85546875" customWidth="1"/>
    <col min="2" max="2" width="28.140625" bestFit="1" customWidth="1"/>
    <col min="3" max="3" width="36.42578125" bestFit="1" customWidth="1"/>
  </cols>
  <sheetData>
    <row r="1" spans="1:7" ht="15.75" thickBot="1">
      <c r="A1" s="127" t="s">
        <v>2</v>
      </c>
      <c r="B1" s="128" t="s">
        <v>52</v>
      </c>
      <c r="C1" s="128" t="s">
        <v>110</v>
      </c>
      <c r="D1" s="170" t="s">
        <v>6</v>
      </c>
      <c r="E1" s="128" t="s">
        <v>7</v>
      </c>
      <c r="F1" s="129" t="s">
        <v>115</v>
      </c>
      <c r="G1" s="166" t="s">
        <v>116</v>
      </c>
    </row>
    <row r="2" spans="1:7">
      <c r="A2" s="72" t="s">
        <v>294</v>
      </c>
      <c r="B2" s="73" t="s">
        <v>369</v>
      </c>
      <c r="C2" s="73" t="s">
        <v>370</v>
      </c>
      <c r="D2" t="s">
        <v>549</v>
      </c>
      <c r="E2" s="73" t="s">
        <v>29</v>
      </c>
      <c r="F2" s="73">
        <v>1.01</v>
      </c>
      <c r="G2">
        <v>2015</v>
      </c>
    </row>
    <row r="3" spans="1:7">
      <c r="A3" s="75" t="s">
        <v>294</v>
      </c>
      <c r="B3" t="str">
        <f>B2</f>
        <v>trade_graphite_concentrate</v>
      </c>
      <c r="C3" t="s">
        <v>371</v>
      </c>
      <c r="D3" t="s">
        <v>549</v>
      </c>
      <c r="E3" t="s">
        <v>29</v>
      </c>
      <c r="F3" s="7">
        <v>1</v>
      </c>
      <c r="G3">
        <v>2015</v>
      </c>
    </row>
    <row r="4" spans="1:7" ht="15.75" thickBot="1">
      <c r="A4" s="75" t="s">
        <v>294</v>
      </c>
      <c r="B4" t="str">
        <f>B3</f>
        <v>trade_graphite_concentrate</v>
      </c>
      <c r="C4" t="s">
        <v>41</v>
      </c>
      <c r="D4" t="s">
        <v>549</v>
      </c>
      <c r="E4" t="s">
        <v>40</v>
      </c>
      <c r="F4">
        <v>20</v>
      </c>
      <c r="G4">
        <v>2015</v>
      </c>
    </row>
    <row r="5" spans="1:7">
      <c r="A5" s="72" t="s">
        <v>294</v>
      </c>
      <c r="B5" s="73" t="s">
        <v>373</v>
      </c>
      <c r="C5" s="73" t="s">
        <v>372</v>
      </c>
      <c r="D5" t="s">
        <v>549</v>
      </c>
      <c r="E5" s="73" t="s">
        <v>29</v>
      </c>
      <c r="F5" s="73">
        <v>1.01</v>
      </c>
      <c r="G5">
        <v>2015</v>
      </c>
    </row>
    <row r="6" spans="1:7">
      <c r="A6" s="75" t="s">
        <v>294</v>
      </c>
      <c r="B6" t="str">
        <f>B5</f>
        <v>trade_natural_graphite</v>
      </c>
      <c r="C6" t="s">
        <v>454</v>
      </c>
      <c r="D6" t="s">
        <v>549</v>
      </c>
      <c r="E6" t="s">
        <v>29</v>
      </c>
      <c r="F6" s="7">
        <v>1</v>
      </c>
      <c r="G6">
        <v>2015</v>
      </c>
    </row>
    <row r="7" spans="1:7" ht="15.75" thickBot="1">
      <c r="A7" s="75" t="s">
        <v>294</v>
      </c>
      <c r="B7" t="str">
        <f>B6</f>
        <v>trade_natural_graphite</v>
      </c>
      <c r="C7" t="s">
        <v>41</v>
      </c>
      <c r="D7" t="s">
        <v>549</v>
      </c>
      <c r="E7" t="s">
        <v>40</v>
      </c>
      <c r="F7">
        <v>20</v>
      </c>
      <c r="G7">
        <v>2015</v>
      </c>
    </row>
    <row r="8" spans="1:7">
      <c r="A8" s="72" t="s">
        <v>294</v>
      </c>
      <c r="B8" s="73" t="s">
        <v>374</v>
      </c>
      <c r="C8" s="73" t="s">
        <v>375</v>
      </c>
      <c r="D8" t="s">
        <v>549</v>
      </c>
      <c r="E8" s="73" t="s">
        <v>29</v>
      </c>
      <c r="F8" s="73">
        <v>1.01</v>
      </c>
      <c r="G8">
        <v>2015</v>
      </c>
    </row>
    <row r="9" spans="1:7">
      <c r="A9" s="75" t="s">
        <v>294</v>
      </c>
      <c r="B9" t="str">
        <f>B8</f>
        <v>trade_coal_tar_pitch</v>
      </c>
      <c r="C9" t="s">
        <v>376</v>
      </c>
      <c r="D9" t="s">
        <v>549</v>
      </c>
      <c r="E9" t="s">
        <v>29</v>
      </c>
      <c r="F9" s="7">
        <v>1</v>
      </c>
      <c r="G9">
        <v>2015</v>
      </c>
    </row>
    <row r="10" spans="1:7" ht="15.75" thickBot="1">
      <c r="A10" s="75" t="s">
        <v>294</v>
      </c>
      <c r="B10" t="str">
        <f>B9</f>
        <v>trade_coal_tar_pitch</v>
      </c>
      <c r="C10" t="s">
        <v>41</v>
      </c>
      <c r="D10" t="s">
        <v>549</v>
      </c>
      <c r="E10" t="s">
        <v>40</v>
      </c>
      <c r="F10">
        <v>20</v>
      </c>
      <c r="G10">
        <v>2015</v>
      </c>
    </row>
    <row r="11" spans="1:7">
      <c r="A11" s="72" t="s">
        <v>294</v>
      </c>
      <c r="B11" s="73" t="s">
        <v>377</v>
      </c>
      <c r="C11" s="73" t="s">
        <v>378</v>
      </c>
      <c r="D11" t="s">
        <v>549</v>
      </c>
      <c r="E11" s="73" t="s">
        <v>29</v>
      </c>
      <c r="F11" s="73">
        <v>1.01</v>
      </c>
      <c r="G11">
        <v>2015</v>
      </c>
    </row>
    <row r="12" spans="1:7">
      <c r="A12" s="75" t="s">
        <v>294</v>
      </c>
      <c r="B12" t="str">
        <f>B11</f>
        <v>trade_synthetic_graphite</v>
      </c>
      <c r="C12" t="s">
        <v>379</v>
      </c>
      <c r="D12" t="s">
        <v>549</v>
      </c>
      <c r="E12" t="s">
        <v>29</v>
      </c>
      <c r="F12" s="7">
        <v>1</v>
      </c>
      <c r="G12">
        <v>2015</v>
      </c>
    </row>
    <row r="13" spans="1:7" ht="15.75" thickBot="1">
      <c r="A13" s="75" t="s">
        <v>294</v>
      </c>
      <c r="B13" t="str">
        <f>B12</f>
        <v>trade_synthetic_graphite</v>
      </c>
      <c r="C13" t="s">
        <v>41</v>
      </c>
      <c r="D13" t="s">
        <v>549</v>
      </c>
      <c r="E13" t="s">
        <v>40</v>
      </c>
      <c r="F13">
        <v>20</v>
      </c>
      <c r="G13">
        <v>2015</v>
      </c>
    </row>
    <row r="14" spans="1:7">
      <c r="A14" s="72" t="s">
        <v>294</v>
      </c>
      <c r="B14" s="73" t="s">
        <v>382</v>
      </c>
      <c r="C14" s="73" t="s">
        <v>380</v>
      </c>
      <c r="D14" t="s">
        <v>549</v>
      </c>
      <c r="E14" s="73" t="s">
        <v>29</v>
      </c>
      <c r="F14" s="73">
        <v>1.01</v>
      </c>
      <c r="G14">
        <v>2015</v>
      </c>
    </row>
    <row r="15" spans="1:7">
      <c r="A15" s="75" t="s">
        <v>294</v>
      </c>
      <c r="B15" t="str">
        <f>B14</f>
        <v>trade_needle_coke</v>
      </c>
      <c r="C15" t="s">
        <v>381</v>
      </c>
      <c r="D15" t="s">
        <v>549</v>
      </c>
      <c r="E15" t="s">
        <v>29</v>
      </c>
      <c r="F15" s="7">
        <v>1</v>
      </c>
      <c r="G15">
        <v>2015</v>
      </c>
    </row>
    <row r="16" spans="1:7" ht="15.75" thickBot="1">
      <c r="A16" s="75" t="s">
        <v>294</v>
      </c>
      <c r="B16" t="str">
        <f>B15</f>
        <v>trade_needle_coke</v>
      </c>
      <c r="C16" t="s">
        <v>41</v>
      </c>
      <c r="D16" t="s">
        <v>549</v>
      </c>
      <c r="E16" t="s">
        <v>40</v>
      </c>
      <c r="F16">
        <v>20</v>
      </c>
      <c r="G16">
        <v>2015</v>
      </c>
    </row>
    <row r="17" spans="1:7">
      <c r="A17" s="72" t="s">
        <v>294</v>
      </c>
      <c r="B17" s="73" t="s">
        <v>383</v>
      </c>
      <c r="C17" s="73" t="s">
        <v>384</v>
      </c>
      <c r="D17" t="s">
        <v>549</v>
      </c>
      <c r="E17" s="73" t="s">
        <v>29</v>
      </c>
      <c r="F17" s="73">
        <v>1.01</v>
      </c>
      <c r="G17">
        <v>2015</v>
      </c>
    </row>
    <row r="18" spans="1:7">
      <c r="A18" s="75" t="s">
        <v>294</v>
      </c>
      <c r="B18" t="str">
        <f>B17</f>
        <v>trade_lithium_carbonate</v>
      </c>
      <c r="C18" t="s">
        <v>385</v>
      </c>
      <c r="D18" t="s">
        <v>549</v>
      </c>
      <c r="E18" t="s">
        <v>29</v>
      </c>
      <c r="F18" s="7">
        <v>1</v>
      </c>
      <c r="G18">
        <v>2015</v>
      </c>
    </row>
    <row r="19" spans="1:7" ht="15.75" thickBot="1">
      <c r="A19" s="75" t="s">
        <v>294</v>
      </c>
      <c r="B19" t="str">
        <f>B18</f>
        <v>trade_lithium_carbonate</v>
      </c>
      <c r="C19" t="s">
        <v>41</v>
      </c>
      <c r="D19" t="s">
        <v>549</v>
      </c>
      <c r="E19" t="s">
        <v>40</v>
      </c>
      <c r="F19">
        <v>20</v>
      </c>
      <c r="G19">
        <v>2015</v>
      </c>
    </row>
    <row r="20" spans="1:7">
      <c r="A20" s="72" t="s">
        <v>294</v>
      </c>
      <c r="B20" s="73" t="s">
        <v>386</v>
      </c>
      <c r="C20" s="73" t="s">
        <v>387</v>
      </c>
      <c r="D20" t="s">
        <v>549</v>
      </c>
      <c r="E20" s="73" t="s">
        <v>29</v>
      </c>
      <c r="F20" s="73">
        <v>1.01</v>
      </c>
      <c r="G20">
        <v>2015</v>
      </c>
    </row>
    <row r="21" spans="1:7">
      <c r="A21" s="75" t="s">
        <v>294</v>
      </c>
      <c r="B21" t="str">
        <f>B20</f>
        <v>trade_brine_concentrate</v>
      </c>
      <c r="C21" t="s">
        <v>388</v>
      </c>
      <c r="D21" t="s">
        <v>549</v>
      </c>
      <c r="E21" t="s">
        <v>29</v>
      </c>
      <c r="F21" s="7">
        <v>1</v>
      </c>
      <c r="G21">
        <v>2015</v>
      </c>
    </row>
    <row r="22" spans="1:7" ht="15.75" thickBot="1">
      <c r="A22" s="75" t="s">
        <v>294</v>
      </c>
      <c r="B22" t="str">
        <f>B21</f>
        <v>trade_brine_concentrate</v>
      </c>
      <c r="C22" t="s">
        <v>41</v>
      </c>
      <c r="D22" t="s">
        <v>549</v>
      </c>
      <c r="E22" t="s">
        <v>40</v>
      </c>
      <c r="F22">
        <v>20</v>
      </c>
      <c r="G22">
        <v>2015</v>
      </c>
    </row>
    <row r="23" spans="1:7">
      <c r="A23" s="72" t="s">
        <v>294</v>
      </c>
      <c r="B23" s="73" t="s">
        <v>391</v>
      </c>
      <c r="C23" s="73" t="s">
        <v>389</v>
      </c>
      <c r="D23" t="s">
        <v>549</v>
      </c>
      <c r="E23" s="73" t="s">
        <v>29</v>
      </c>
      <c r="F23" s="73">
        <v>1.01</v>
      </c>
      <c r="G23">
        <v>2015</v>
      </c>
    </row>
    <row r="24" spans="1:7">
      <c r="A24" s="75" t="s">
        <v>294</v>
      </c>
      <c r="B24" t="str">
        <f>B23</f>
        <v>trade_lithium_hydroxide</v>
      </c>
      <c r="C24" t="s">
        <v>390</v>
      </c>
      <c r="D24" t="s">
        <v>549</v>
      </c>
      <c r="E24" t="s">
        <v>29</v>
      </c>
      <c r="F24" s="7">
        <v>1</v>
      </c>
      <c r="G24">
        <v>2015</v>
      </c>
    </row>
    <row r="25" spans="1:7" ht="15.75" thickBot="1">
      <c r="A25" s="75" t="s">
        <v>294</v>
      </c>
      <c r="B25" t="str">
        <f>B24</f>
        <v>trade_lithium_hydroxide</v>
      </c>
      <c r="C25" t="s">
        <v>41</v>
      </c>
      <c r="D25" t="s">
        <v>549</v>
      </c>
      <c r="E25" t="s">
        <v>40</v>
      </c>
      <c r="F25">
        <v>20</v>
      </c>
      <c r="G25">
        <v>2015</v>
      </c>
    </row>
    <row r="26" spans="1:7">
      <c r="A26" s="72" t="s">
        <v>294</v>
      </c>
      <c r="B26" s="73" t="s">
        <v>394</v>
      </c>
      <c r="C26" s="73" t="s">
        <v>392</v>
      </c>
      <c r="D26" t="s">
        <v>549</v>
      </c>
      <c r="E26" s="73" t="s">
        <v>29</v>
      </c>
      <c r="F26" s="73">
        <v>1.01</v>
      </c>
      <c r="G26">
        <v>2015</v>
      </c>
    </row>
    <row r="27" spans="1:7">
      <c r="A27" s="75" t="s">
        <v>294</v>
      </c>
      <c r="B27" t="str">
        <f>B26</f>
        <v>trade_spodumene_concentrate</v>
      </c>
      <c r="C27" t="s">
        <v>393</v>
      </c>
      <c r="D27" t="s">
        <v>549</v>
      </c>
      <c r="E27" t="s">
        <v>29</v>
      </c>
      <c r="F27" s="7">
        <v>1</v>
      </c>
      <c r="G27">
        <v>2015</v>
      </c>
    </row>
    <row r="28" spans="1:7" ht="15.75" thickBot="1">
      <c r="A28" s="75" t="s">
        <v>294</v>
      </c>
      <c r="B28" t="str">
        <f>B27</f>
        <v>trade_spodumene_concentrate</v>
      </c>
      <c r="C28" t="s">
        <v>41</v>
      </c>
      <c r="D28" t="s">
        <v>549</v>
      </c>
      <c r="E28" t="s">
        <v>40</v>
      </c>
      <c r="F28">
        <v>20</v>
      </c>
      <c r="G28">
        <v>2015</v>
      </c>
    </row>
    <row r="29" spans="1:7">
      <c r="A29" s="72" t="s">
        <v>294</v>
      </c>
      <c r="B29" s="73" t="s">
        <v>397</v>
      </c>
      <c r="C29" s="73" t="s">
        <v>395</v>
      </c>
      <c r="D29" t="s">
        <v>549</v>
      </c>
      <c r="E29" s="73" t="s">
        <v>29</v>
      </c>
      <c r="F29" s="73">
        <v>1.01</v>
      </c>
      <c r="G29">
        <v>2015</v>
      </c>
    </row>
    <row r="30" spans="1:7">
      <c r="A30" s="75" t="s">
        <v>294</v>
      </c>
      <c r="B30" t="str">
        <f>B29</f>
        <v>trade_nickel_class1</v>
      </c>
      <c r="C30" t="s">
        <v>396</v>
      </c>
      <c r="D30" t="s">
        <v>549</v>
      </c>
      <c r="E30" t="s">
        <v>29</v>
      </c>
      <c r="F30" s="7">
        <v>1</v>
      </c>
      <c r="G30">
        <v>2015</v>
      </c>
    </row>
    <row r="31" spans="1:7" ht="15.75" thickBot="1">
      <c r="A31" s="75" t="s">
        <v>294</v>
      </c>
      <c r="B31" t="str">
        <f>B30</f>
        <v>trade_nickel_class1</v>
      </c>
      <c r="C31" t="s">
        <v>41</v>
      </c>
      <c r="D31" t="s">
        <v>549</v>
      </c>
      <c r="E31" t="s">
        <v>40</v>
      </c>
      <c r="F31">
        <v>20</v>
      </c>
      <c r="G31">
        <v>2015</v>
      </c>
    </row>
    <row r="32" spans="1:7">
      <c r="A32" s="72" t="s">
        <v>294</v>
      </c>
      <c r="B32" s="73" t="s">
        <v>400</v>
      </c>
      <c r="C32" s="73" t="s">
        <v>398</v>
      </c>
      <c r="D32" t="s">
        <v>549</v>
      </c>
      <c r="E32" s="73" t="s">
        <v>29</v>
      </c>
      <c r="F32" s="73">
        <v>1.01</v>
      </c>
      <c r="G32">
        <v>2015</v>
      </c>
    </row>
    <row r="33" spans="1:7">
      <c r="A33" s="75" t="s">
        <v>294</v>
      </c>
      <c r="B33" t="str">
        <f>B32</f>
        <v>trade_cobalt_hydroxide</v>
      </c>
      <c r="C33" t="s">
        <v>399</v>
      </c>
      <c r="D33" t="s">
        <v>549</v>
      </c>
      <c r="E33" t="s">
        <v>29</v>
      </c>
      <c r="F33" s="7">
        <v>1</v>
      </c>
      <c r="G33">
        <v>2015</v>
      </c>
    </row>
    <row r="34" spans="1:7" ht="15.75" thickBot="1">
      <c r="A34" s="75" t="s">
        <v>294</v>
      </c>
      <c r="B34" t="str">
        <f>B33</f>
        <v>trade_cobalt_hydroxide</v>
      </c>
      <c r="C34" t="s">
        <v>41</v>
      </c>
      <c r="D34" t="s">
        <v>549</v>
      </c>
      <c r="E34" t="s">
        <v>40</v>
      </c>
      <c r="F34">
        <v>20</v>
      </c>
      <c r="G34">
        <v>2015</v>
      </c>
    </row>
    <row r="35" spans="1:7">
      <c r="A35" s="72" t="s">
        <v>294</v>
      </c>
      <c r="B35" s="73" t="s">
        <v>403</v>
      </c>
      <c r="C35" s="73" t="s">
        <v>401</v>
      </c>
      <c r="D35" t="s">
        <v>549</v>
      </c>
      <c r="E35" s="73" t="s">
        <v>29</v>
      </c>
      <c r="F35" s="73">
        <v>1.01</v>
      </c>
      <c r="G35">
        <v>2015</v>
      </c>
    </row>
    <row r="36" spans="1:7">
      <c r="A36" s="75" t="s">
        <v>294</v>
      </c>
      <c r="B36" t="str">
        <f>B35</f>
        <v>trade_nickel_sulfate</v>
      </c>
      <c r="C36" t="s">
        <v>402</v>
      </c>
      <c r="D36" t="s">
        <v>549</v>
      </c>
      <c r="E36" t="s">
        <v>29</v>
      </c>
      <c r="F36" s="7">
        <v>1</v>
      </c>
      <c r="G36">
        <v>2015</v>
      </c>
    </row>
    <row r="37" spans="1:7" ht="15.75" thickBot="1">
      <c r="A37" s="75" t="s">
        <v>294</v>
      </c>
      <c r="B37" t="str">
        <f>B36</f>
        <v>trade_nickel_sulfate</v>
      </c>
      <c r="C37" t="s">
        <v>41</v>
      </c>
      <c r="D37" t="s">
        <v>549</v>
      </c>
      <c r="E37" t="s">
        <v>40</v>
      </c>
      <c r="F37">
        <v>20</v>
      </c>
      <c r="G37">
        <v>2015</v>
      </c>
    </row>
    <row r="38" spans="1:7">
      <c r="A38" s="72" t="s">
        <v>294</v>
      </c>
      <c r="B38" s="73" t="s">
        <v>406</v>
      </c>
      <c r="C38" s="73" t="s">
        <v>404</v>
      </c>
      <c r="D38" t="s">
        <v>549</v>
      </c>
      <c r="E38" s="73" t="s">
        <v>29</v>
      </c>
      <c r="F38" s="73">
        <v>1.01</v>
      </c>
      <c r="G38">
        <v>2015</v>
      </c>
    </row>
    <row r="39" spans="1:7">
      <c r="A39" s="75" t="s">
        <v>294</v>
      </c>
      <c r="B39" t="str">
        <f>B38</f>
        <v>trade_Co-Cu_concentrate</v>
      </c>
      <c r="C39" t="s">
        <v>405</v>
      </c>
      <c r="D39" t="s">
        <v>549</v>
      </c>
      <c r="E39" t="s">
        <v>29</v>
      </c>
      <c r="F39" s="7">
        <v>1</v>
      </c>
      <c r="G39">
        <v>2015</v>
      </c>
    </row>
    <row r="40" spans="1:7" ht="15.75" thickBot="1">
      <c r="A40" s="75" t="s">
        <v>294</v>
      </c>
      <c r="B40" t="str">
        <f>B39</f>
        <v>trade_Co-Cu_concentrate</v>
      </c>
      <c r="C40" t="s">
        <v>41</v>
      </c>
      <c r="D40" t="s">
        <v>549</v>
      </c>
      <c r="E40" t="s">
        <v>40</v>
      </c>
      <c r="F40">
        <v>20</v>
      </c>
      <c r="G40">
        <v>2015</v>
      </c>
    </row>
    <row r="41" spans="1:7">
      <c r="A41" s="72" t="s">
        <v>294</v>
      </c>
      <c r="B41" s="73" t="s">
        <v>409</v>
      </c>
      <c r="C41" s="73" t="s">
        <v>407</v>
      </c>
      <c r="D41" t="s">
        <v>549</v>
      </c>
      <c r="E41" s="73" t="s">
        <v>29</v>
      </c>
      <c r="F41" s="73">
        <v>1.01</v>
      </c>
      <c r="G41">
        <v>2015</v>
      </c>
    </row>
    <row r="42" spans="1:7">
      <c r="A42" s="75" t="s">
        <v>294</v>
      </c>
      <c r="B42" t="str">
        <f>B41</f>
        <v>trade_copper_intermediate</v>
      </c>
      <c r="C42" t="s">
        <v>408</v>
      </c>
      <c r="D42" t="s">
        <v>549</v>
      </c>
      <c r="E42" t="s">
        <v>29</v>
      </c>
      <c r="F42" s="7">
        <v>1</v>
      </c>
      <c r="G42">
        <v>2015</v>
      </c>
    </row>
    <row r="43" spans="1:7" ht="15.75" thickBot="1">
      <c r="A43" s="75" t="s">
        <v>294</v>
      </c>
      <c r="B43" t="str">
        <f>B42</f>
        <v>trade_copper_intermediate</v>
      </c>
      <c r="C43" t="s">
        <v>41</v>
      </c>
      <c r="D43" t="s">
        <v>549</v>
      </c>
      <c r="E43" t="s">
        <v>40</v>
      </c>
      <c r="F43">
        <v>20</v>
      </c>
      <c r="G43">
        <v>2015</v>
      </c>
    </row>
    <row r="44" spans="1:7">
      <c r="A44" s="72" t="s">
        <v>294</v>
      </c>
      <c r="B44" s="73" t="s">
        <v>412</v>
      </c>
      <c r="C44" s="73" t="s">
        <v>410</v>
      </c>
      <c r="D44" t="s">
        <v>549</v>
      </c>
      <c r="E44" s="73" t="s">
        <v>29</v>
      </c>
      <c r="F44" s="73">
        <v>1.01</v>
      </c>
      <c r="G44">
        <v>2015</v>
      </c>
    </row>
    <row r="45" spans="1:7">
      <c r="A45" s="75" t="s">
        <v>294</v>
      </c>
      <c r="B45" t="str">
        <f>B44</f>
        <v>trade_cobalt_sulfate</v>
      </c>
      <c r="C45" t="s">
        <v>411</v>
      </c>
      <c r="D45" t="s">
        <v>549</v>
      </c>
      <c r="E45" t="s">
        <v>29</v>
      </c>
      <c r="F45" s="7">
        <v>1</v>
      </c>
      <c r="G45">
        <v>2015</v>
      </c>
    </row>
    <row r="46" spans="1:7" ht="15.75" thickBot="1">
      <c r="A46" s="75" t="s">
        <v>294</v>
      </c>
      <c r="B46" t="str">
        <f>B45</f>
        <v>trade_cobalt_sulfate</v>
      </c>
      <c r="C46" t="s">
        <v>41</v>
      </c>
      <c r="D46" t="s">
        <v>549</v>
      </c>
      <c r="E46" t="s">
        <v>40</v>
      </c>
      <c r="F46">
        <v>20</v>
      </c>
      <c r="G46">
        <v>2015</v>
      </c>
    </row>
    <row r="47" spans="1:7">
      <c r="A47" s="72" t="s">
        <v>294</v>
      </c>
      <c r="B47" s="73" t="s">
        <v>415</v>
      </c>
      <c r="C47" s="73" t="s">
        <v>413</v>
      </c>
      <c r="D47" t="s">
        <v>549</v>
      </c>
      <c r="E47" s="73" t="s">
        <v>29</v>
      </c>
      <c r="F47" s="73">
        <v>1.01</v>
      </c>
      <c r="G47">
        <v>2015</v>
      </c>
    </row>
    <row r="48" spans="1:7">
      <c r="A48" s="75" t="s">
        <v>294</v>
      </c>
      <c r="B48" t="str">
        <f>B47</f>
        <v>trade_copper_metal</v>
      </c>
      <c r="C48" t="s">
        <v>414</v>
      </c>
      <c r="D48" t="s">
        <v>549</v>
      </c>
      <c r="E48" t="s">
        <v>29</v>
      </c>
      <c r="F48" s="7">
        <v>1</v>
      </c>
      <c r="G48">
        <v>2015</v>
      </c>
    </row>
    <row r="49" spans="1:7" ht="15.75" thickBot="1">
      <c r="A49" s="75" t="s">
        <v>294</v>
      </c>
      <c r="B49" t="str">
        <f>B48</f>
        <v>trade_copper_metal</v>
      </c>
      <c r="C49" t="s">
        <v>41</v>
      </c>
      <c r="D49" t="s">
        <v>549</v>
      </c>
      <c r="E49" t="s">
        <v>40</v>
      </c>
      <c r="F49">
        <v>20</v>
      </c>
      <c r="G49">
        <v>2015</v>
      </c>
    </row>
    <row r="50" spans="1:7">
      <c r="A50" s="72" t="s">
        <v>294</v>
      </c>
      <c r="B50" s="73" t="s">
        <v>418</v>
      </c>
      <c r="C50" s="73" t="s">
        <v>416</v>
      </c>
      <c r="D50" t="s">
        <v>549</v>
      </c>
      <c r="E50" s="73" t="s">
        <v>29</v>
      </c>
      <c r="F50" s="73">
        <v>1.01</v>
      </c>
      <c r="G50">
        <v>2015</v>
      </c>
    </row>
    <row r="51" spans="1:7">
      <c r="A51" s="75" t="s">
        <v>294</v>
      </c>
      <c r="B51" t="str">
        <f>B50</f>
        <v>trade_NMC811_anode</v>
      </c>
      <c r="C51" t="s">
        <v>417</v>
      </c>
      <c r="D51" t="s">
        <v>549</v>
      </c>
      <c r="E51" t="s">
        <v>29</v>
      </c>
      <c r="F51" s="7">
        <v>1</v>
      </c>
      <c r="G51">
        <v>2015</v>
      </c>
    </row>
    <row r="52" spans="1:7" ht="15.75" thickBot="1">
      <c r="A52" s="75" t="s">
        <v>294</v>
      </c>
      <c r="B52" t="str">
        <f>B51</f>
        <v>trade_NMC811_anode</v>
      </c>
      <c r="C52" t="s">
        <v>41</v>
      </c>
      <c r="D52" t="s">
        <v>549</v>
      </c>
      <c r="E52" t="s">
        <v>40</v>
      </c>
      <c r="F52">
        <v>20</v>
      </c>
      <c r="G52">
        <v>2015</v>
      </c>
    </row>
    <row r="53" spans="1:7">
      <c r="A53" s="72" t="s">
        <v>294</v>
      </c>
      <c r="B53" s="73" t="s">
        <v>421</v>
      </c>
      <c r="C53" s="73" t="s">
        <v>419</v>
      </c>
      <c r="D53" t="s">
        <v>549</v>
      </c>
      <c r="E53" s="73" t="s">
        <v>29</v>
      </c>
      <c r="F53" s="73">
        <v>1.01</v>
      </c>
      <c r="G53">
        <v>2015</v>
      </c>
    </row>
    <row r="54" spans="1:7">
      <c r="A54" s="75" t="s">
        <v>294</v>
      </c>
      <c r="B54" t="str">
        <f>B53</f>
        <v>trade_NMC811_cathode</v>
      </c>
      <c r="C54" t="s">
        <v>420</v>
      </c>
      <c r="D54" t="s">
        <v>549</v>
      </c>
      <c r="E54" t="s">
        <v>29</v>
      </c>
      <c r="F54" s="7">
        <v>1</v>
      </c>
      <c r="G54">
        <v>2015</v>
      </c>
    </row>
    <row r="55" spans="1:7" ht="15.75" thickBot="1">
      <c r="A55" s="75" t="s">
        <v>294</v>
      </c>
      <c r="B55" t="str">
        <f>B54</f>
        <v>trade_NMC811_cathode</v>
      </c>
      <c r="C55" t="s">
        <v>41</v>
      </c>
      <c r="D55" t="s">
        <v>549</v>
      </c>
      <c r="E55" t="s">
        <v>40</v>
      </c>
      <c r="F55">
        <v>20</v>
      </c>
      <c r="G55">
        <v>2015</v>
      </c>
    </row>
    <row r="56" spans="1:7">
      <c r="A56" s="72" t="s">
        <v>294</v>
      </c>
      <c r="B56" s="73" t="s">
        <v>424</v>
      </c>
      <c r="C56" s="73" t="s">
        <v>422</v>
      </c>
      <c r="D56" t="s">
        <v>549</v>
      </c>
      <c r="E56" s="73" t="s">
        <v>29</v>
      </c>
      <c r="F56" s="73">
        <v>1.01</v>
      </c>
      <c r="G56">
        <v>2015</v>
      </c>
    </row>
    <row r="57" spans="1:7">
      <c r="A57" s="75" t="s">
        <v>294</v>
      </c>
      <c r="B57" t="str">
        <f>B56</f>
        <v>trade_NCA_anode</v>
      </c>
      <c r="C57" t="s">
        <v>423</v>
      </c>
      <c r="D57" t="s">
        <v>549</v>
      </c>
      <c r="E57" t="s">
        <v>29</v>
      </c>
      <c r="F57" s="7">
        <v>1</v>
      </c>
      <c r="G57">
        <v>2015</v>
      </c>
    </row>
    <row r="58" spans="1:7" ht="15.75" thickBot="1">
      <c r="A58" s="75" t="s">
        <v>294</v>
      </c>
      <c r="B58" t="str">
        <f>B57</f>
        <v>trade_NCA_anode</v>
      </c>
      <c r="C58" t="s">
        <v>41</v>
      </c>
      <c r="D58" t="s">
        <v>549</v>
      </c>
      <c r="E58" t="s">
        <v>40</v>
      </c>
      <c r="F58">
        <v>20</v>
      </c>
      <c r="G58">
        <v>2015</v>
      </c>
    </row>
    <row r="59" spans="1:7">
      <c r="A59" s="72" t="s">
        <v>294</v>
      </c>
      <c r="B59" s="73" t="s">
        <v>425</v>
      </c>
      <c r="C59" s="73" t="s">
        <v>426</v>
      </c>
      <c r="D59" t="s">
        <v>549</v>
      </c>
      <c r="E59" s="73" t="s">
        <v>29</v>
      </c>
      <c r="F59" s="73">
        <v>1.01</v>
      </c>
      <c r="G59">
        <v>2015</v>
      </c>
    </row>
    <row r="60" spans="1:7">
      <c r="A60" s="75" t="s">
        <v>294</v>
      </c>
      <c r="B60" t="str">
        <f>B59</f>
        <v>trade_NCA_cathode</v>
      </c>
      <c r="C60" t="s">
        <v>427</v>
      </c>
      <c r="D60" t="s">
        <v>549</v>
      </c>
      <c r="E60" t="s">
        <v>29</v>
      </c>
      <c r="F60" s="7">
        <v>1</v>
      </c>
      <c r="G60">
        <v>2015</v>
      </c>
    </row>
    <row r="61" spans="1:7" ht="15.75" thickBot="1">
      <c r="A61" s="75" t="s">
        <v>294</v>
      </c>
      <c r="B61" t="str">
        <f>B60</f>
        <v>trade_NCA_cathode</v>
      </c>
      <c r="C61" t="s">
        <v>41</v>
      </c>
      <c r="D61" t="s">
        <v>549</v>
      </c>
      <c r="E61" t="s">
        <v>40</v>
      </c>
      <c r="F61">
        <v>20</v>
      </c>
      <c r="G61">
        <v>2015</v>
      </c>
    </row>
    <row r="62" spans="1:7">
      <c r="A62" s="72" t="s">
        <v>294</v>
      </c>
      <c r="B62" s="73" t="s">
        <v>430</v>
      </c>
      <c r="C62" s="73" t="s">
        <v>428</v>
      </c>
      <c r="D62" t="s">
        <v>549</v>
      </c>
      <c r="E62" s="73" t="s">
        <v>29</v>
      </c>
      <c r="F62" s="73">
        <v>1.01</v>
      </c>
      <c r="G62">
        <v>2015</v>
      </c>
    </row>
    <row r="63" spans="1:7">
      <c r="A63" s="75" t="s">
        <v>294</v>
      </c>
      <c r="B63" t="str">
        <f>B62</f>
        <v>trade_LFP_anode</v>
      </c>
      <c r="C63" t="s">
        <v>429</v>
      </c>
      <c r="D63" t="s">
        <v>549</v>
      </c>
      <c r="E63" t="s">
        <v>29</v>
      </c>
      <c r="F63" s="7">
        <v>1</v>
      </c>
      <c r="G63">
        <v>2015</v>
      </c>
    </row>
    <row r="64" spans="1:7" ht="15.75" thickBot="1">
      <c r="A64" s="75" t="s">
        <v>294</v>
      </c>
      <c r="B64" t="str">
        <f>B63</f>
        <v>trade_LFP_anode</v>
      </c>
      <c r="C64" t="s">
        <v>41</v>
      </c>
      <c r="D64" t="s">
        <v>549</v>
      </c>
      <c r="E64" t="s">
        <v>40</v>
      </c>
      <c r="F64">
        <v>20</v>
      </c>
      <c r="G64">
        <v>2015</v>
      </c>
    </row>
    <row r="65" spans="1:8">
      <c r="A65" s="72" t="s">
        <v>294</v>
      </c>
      <c r="B65" s="73" t="s">
        <v>433</v>
      </c>
      <c r="C65" s="73" t="s">
        <v>431</v>
      </c>
      <c r="D65" t="s">
        <v>549</v>
      </c>
      <c r="E65" s="73" t="s">
        <v>29</v>
      </c>
      <c r="F65" s="73">
        <v>1.01</v>
      </c>
      <c r="G65">
        <v>2015</v>
      </c>
    </row>
    <row r="66" spans="1:8">
      <c r="A66" s="75" t="s">
        <v>294</v>
      </c>
      <c r="B66" t="str">
        <f>B65</f>
        <v>trade_LFP_cathode</v>
      </c>
      <c r="C66" t="s">
        <v>432</v>
      </c>
      <c r="D66" t="s">
        <v>549</v>
      </c>
      <c r="E66" t="s">
        <v>29</v>
      </c>
      <c r="F66" s="7">
        <v>1</v>
      </c>
      <c r="G66">
        <v>2015</v>
      </c>
    </row>
    <row r="67" spans="1:8" ht="15.75" thickBot="1">
      <c r="A67" s="75" t="s">
        <v>294</v>
      </c>
      <c r="B67" t="str">
        <f>B66</f>
        <v>trade_LFP_cathode</v>
      </c>
      <c r="C67" t="s">
        <v>41</v>
      </c>
      <c r="D67" t="s">
        <v>549</v>
      </c>
      <c r="E67" t="s">
        <v>40</v>
      </c>
      <c r="F67">
        <v>20</v>
      </c>
      <c r="G67">
        <v>2015</v>
      </c>
    </row>
    <row r="68" spans="1:8">
      <c r="A68" s="72" t="s">
        <v>294</v>
      </c>
      <c r="B68" s="73" t="s">
        <v>436</v>
      </c>
      <c r="C68" s="73" t="s">
        <v>434</v>
      </c>
      <c r="D68" t="s">
        <v>549</v>
      </c>
      <c r="E68" s="73" t="s">
        <v>29</v>
      </c>
      <c r="F68" s="73">
        <v>1.01</v>
      </c>
      <c r="G68">
        <v>2015</v>
      </c>
    </row>
    <row r="69" spans="1:8">
      <c r="A69" s="75" t="s">
        <v>294</v>
      </c>
      <c r="B69" t="str">
        <f>B68</f>
        <v>trade_NMC622_anode</v>
      </c>
      <c r="C69" t="s">
        <v>435</v>
      </c>
      <c r="D69" t="s">
        <v>549</v>
      </c>
      <c r="E69" t="s">
        <v>29</v>
      </c>
      <c r="F69" s="7">
        <v>1</v>
      </c>
      <c r="G69">
        <v>2015</v>
      </c>
    </row>
    <row r="70" spans="1:8" ht="15.75" thickBot="1">
      <c r="A70" s="75" t="s">
        <v>294</v>
      </c>
      <c r="B70" t="str">
        <f>B69</f>
        <v>trade_NMC622_anode</v>
      </c>
      <c r="C70" t="s">
        <v>41</v>
      </c>
      <c r="D70" t="s">
        <v>549</v>
      </c>
      <c r="E70" t="s">
        <v>40</v>
      </c>
      <c r="F70">
        <v>20</v>
      </c>
      <c r="G70">
        <v>2015</v>
      </c>
    </row>
    <row r="71" spans="1:8">
      <c r="A71" s="72" t="s">
        <v>294</v>
      </c>
      <c r="B71" s="73" t="s">
        <v>439</v>
      </c>
      <c r="C71" s="73" t="s">
        <v>437</v>
      </c>
      <c r="D71" t="s">
        <v>549</v>
      </c>
      <c r="E71" s="73" t="s">
        <v>29</v>
      </c>
      <c r="F71" s="73">
        <v>1.01</v>
      </c>
      <c r="G71">
        <v>2015</v>
      </c>
    </row>
    <row r="72" spans="1:8">
      <c r="A72" s="75" t="s">
        <v>294</v>
      </c>
      <c r="B72" t="str">
        <f>B71</f>
        <v>trade_NMC622_cathode</v>
      </c>
      <c r="C72" t="s">
        <v>438</v>
      </c>
      <c r="D72" t="s">
        <v>549</v>
      </c>
      <c r="E72" t="s">
        <v>29</v>
      </c>
      <c r="F72" s="7">
        <v>1</v>
      </c>
      <c r="G72">
        <v>2015</v>
      </c>
    </row>
    <row r="73" spans="1:8" ht="15.75" thickBot="1">
      <c r="A73" s="75" t="s">
        <v>294</v>
      </c>
      <c r="B73" t="str">
        <f>B72</f>
        <v>trade_NMC622_cathode</v>
      </c>
      <c r="C73" t="s">
        <v>41</v>
      </c>
      <c r="D73" t="s">
        <v>549</v>
      </c>
      <c r="E73" t="s">
        <v>40</v>
      </c>
      <c r="F73">
        <v>20</v>
      </c>
      <c r="G73">
        <v>2015</v>
      </c>
    </row>
    <row r="74" spans="1:8">
      <c r="A74" s="72" t="s">
        <v>294</v>
      </c>
      <c r="B74" s="73" t="s">
        <v>312</v>
      </c>
      <c r="C74" s="73" t="s">
        <v>313</v>
      </c>
      <c r="D74" t="s">
        <v>549</v>
      </c>
      <c r="E74" s="73" t="s">
        <v>29</v>
      </c>
      <c r="F74" s="73">
        <v>1.01</v>
      </c>
      <c r="G74">
        <v>2015</v>
      </c>
      <c r="H74" s="12"/>
    </row>
    <row r="75" spans="1:8">
      <c r="A75" s="75" t="s">
        <v>294</v>
      </c>
      <c r="B75" t="str">
        <f>B74</f>
        <v>trade_NCA</v>
      </c>
      <c r="C75" t="s">
        <v>314</v>
      </c>
      <c r="D75" t="s">
        <v>549</v>
      </c>
      <c r="E75" t="s">
        <v>29</v>
      </c>
      <c r="F75" s="7">
        <v>1</v>
      </c>
      <c r="G75">
        <v>2015</v>
      </c>
      <c r="H75" s="12"/>
    </row>
    <row r="76" spans="1:8" ht="15.75" thickBot="1">
      <c r="A76" s="75" t="s">
        <v>294</v>
      </c>
      <c r="B76" t="str">
        <f>B75</f>
        <v>trade_NCA</v>
      </c>
      <c r="C76" t="s">
        <v>41</v>
      </c>
      <c r="D76" t="s">
        <v>549</v>
      </c>
      <c r="E76" t="s">
        <v>40</v>
      </c>
      <c r="F76">
        <v>20</v>
      </c>
      <c r="G76">
        <v>2015</v>
      </c>
      <c r="H76" s="12"/>
    </row>
    <row r="77" spans="1:8">
      <c r="A77" s="72" t="s">
        <v>294</v>
      </c>
      <c r="B77" s="73" t="s">
        <v>306</v>
      </c>
      <c r="C77" s="73" t="s">
        <v>307</v>
      </c>
      <c r="D77" t="s">
        <v>549</v>
      </c>
      <c r="E77" s="73" t="s">
        <v>29</v>
      </c>
      <c r="F77" s="73">
        <v>1.01</v>
      </c>
      <c r="G77">
        <v>2015</v>
      </c>
      <c r="H77" s="12"/>
    </row>
    <row r="78" spans="1:8">
      <c r="A78" s="75" t="s">
        <v>294</v>
      </c>
      <c r="B78" t="str">
        <f>B77</f>
        <v>trade_NMC622</v>
      </c>
      <c r="C78" t="s">
        <v>308</v>
      </c>
      <c r="D78" t="s">
        <v>549</v>
      </c>
      <c r="E78" t="s">
        <v>29</v>
      </c>
      <c r="F78" s="7">
        <v>1</v>
      </c>
      <c r="G78">
        <v>2015</v>
      </c>
      <c r="H78" s="12"/>
    </row>
    <row r="79" spans="1:8" ht="15.75" thickBot="1">
      <c r="A79" s="77" t="s">
        <v>294</v>
      </c>
      <c r="B79" s="78" t="str">
        <f>B78</f>
        <v>trade_NMC622</v>
      </c>
      <c r="C79" s="78" t="s">
        <v>41</v>
      </c>
      <c r="D79" t="s">
        <v>549</v>
      </c>
      <c r="E79" t="s">
        <v>40</v>
      </c>
      <c r="F79">
        <v>20</v>
      </c>
      <c r="G79">
        <v>2015</v>
      </c>
      <c r="H79" s="12"/>
    </row>
    <row r="80" spans="1:8">
      <c r="A80" s="72" t="s">
        <v>294</v>
      </c>
      <c r="B80" s="73" t="s">
        <v>295</v>
      </c>
      <c r="C80" s="73" t="s">
        <v>296</v>
      </c>
      <c r="D80" t="s">
        <v>549</v>
      </c>
      <c r="E80" s="73" t="s">
        <v>29</v>
      </c>
      <c r="F80" s="73">
        <v>1.01</v>
      </c>
      <c r="G80">
        <v>2015</v>
      </c>
      <c r="H80" s="12"/>
    </row>
    <row r="81" spans="1:8">
      <c r="A81" s="75" t="s">
        <v>294</v>
      </c>
      <c r="B81" t="str">
        <f>B80</f>
        <v>trade_NMC811</v>
      </c>
      <c r="C81" t="s">
        <v>297</v>
      </c>
      <c r="D81" t="s">
        <v>549</v>
      </c>
      <c r="E81" t="s">
        <v>29</v>
      </c>
      <c r="F81" s="7">
        <v>1</v>
      </c>
      <c r="G81">
        <v>2015</v>
      </c>
      <c r="H81" s="12"/>
    </row>
    <row r="82" spans="1:8" ht="15.75" thickBot="1">
      <c r="A82" s="77" t="s">
        <v>294</v>
      </c>
      <c r="B82" s="78" t="str">
        <f>B81</f>
        <v>trade_NMC811</v>
      </c>
      <c r="C82" s="78" t="s">
        <v>41</v>
      </c>
      <c r="D82" t="s">
        <v>549</v>
      </c>
      <c r="E82" t="s">
        <v>40</v>
      </c>
      <c r="F82">
        <v>20</v>
      </c>
      <c r="G82">
        <v>2015</v>
      </c>
      <c r="H82" s="12"/>
    </row>
    <row r="83" spans="1:8">
      <c r="A83" s="72" t="s">
        <v>294</v>
      </c>
      <c r="B83" s="73" t="s">
        <v>309</v>
      </c>
      <c r="C83" s="73" t="s">
        <v>310</v>
      </c>
      <c r="D83" t="s">
        <v>549</v>
      </c>
      <c r="E83" s="73" t="s">
        <v>29</v>
      </c>
      <c r="F83" s="73">
        <v>1.01</v>
      </c>
      <c r="G83">
        <v>2015</v>
      </c>
      <c r="H83" s="12"/>
    </row>
    <row r="84" spans="1:8">
      <c r="A84" s="75" t="s">
        <v>294</v>
      </c>
      <c r="B84" t="str">
        <f>B83</f>
        <v>trade_LFP</v>
      </c>
      <c r="C84" t="s">
        <v>311</v>
      </c>
      <c r="D84" t="s">
        <v>549</v>
      </c>
      <c r="E84" t="s">
        <v>29</v>
      </c>
      <c r="F84" s="7">
        <v>1</v>
      </c>
      <c r="G84">
        <v>2015</v>
      </c>
      <c r="H84" s="12"/>
    </row>
    <row r="85" spans="1:8" ht="15.75" thickBot="1">
      <c r="A85" s="77" t="s">
        <v>294</v>
      </c>
      <c r="B85" s="78" t="str">
        <f>B84</f>
        <v>trade_LFP</v>
      </c>
      <c r="C85" s="78" t="s">
        <v>41</v>
      </c>
      <c r="D85" t="s">
        <v>549</v>
      </c>
      <c r="E85" t="s">
        <v>40</v>
      </c>
      <c r="F85">
        <v>20</v>
      </c>
      <c r="G85">
        <v>2015</v>
      </c>
      <c r="H85" s="12"/>
    </row>
    <row r="86" spans="1:8">
      <c r="E86" s="7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9405-0D2D-479B-9238-A4E9854C177A}">
  <dimension ref="A1:C21"/>
  <sheetViews>
    <sheetView workbookViewId="0"/>
  </sheetViews>
  <sheetFormatPr defaultRowHeight="15"/>
  <cols>
    <col min="1" max="1" width="34" customWidth="1"/>
  </cols>
  <sheetData>
    <row r="1" spans="1:3">
      <c r="A1" s="37" t="s">
        <v>63</v>
      </c>
      <c r="B1" s="37" t="s">
        <v>39</v>
      </c>
      <c r="C1" s="61">
        <f>(0.55+31.55+3.32+6.01)/1.6</f>
        <v>25.893749999999997</v>
      </c>
    </row>
    <row r="2" spans="1:3">
      <c r="A2" s="36" t="s">
        <v>63</v>
      </c>
      <c r="B2" s="36" t="s">
        <v>41</v>
      </c>
      <c r="C2" s="62">
        <f>(23.89+5.06+6.96)/1.6</f>
        <v>22.443749999999998</v>
      </c>
    </row>
    <row r="3" spans="1:3">
      <c r="A3" s="37" t="s">
        <v>63</v>
      </c>
      <c r="B3" s="37" t="s">
        <v>42</v>
      </c>
      <c r="C3" s="63">
        <f>9.26/1.6</f>
        <v>5.7874999999999996</v>
      </c>
    </row>
    <row r="4" spans="1:3">
      <c r="A4" s="36" t="s">
        <v>61</v>
      </c>
      <c r="B4" s="36" t="s">
        <v>39</v>
      </c>
      <c r="C4" s="62">
        <f>C1*0.035</f>
        <v>0.90628125000000004</v>
      </c>
    </row>
    <row r="5" spans="1:3">
      <c r="A5" s="37" t="s">
        <v>61</v>
      </c>
      <c r="B5" s="37" t="s">
        <v>41</v>
      </c>
      <c r="C5" s="64">
        <f>C2*0.035</f>
        <v>0.78553125000000001</v>
      </c>
    </row>
    <row r="6" spans="1:3">
      <c r="A6" s="36" t="s">
        <v>61</v>
      </c>
      <c r="B6" s="36" t="s">
        <v>42</v>
      </c>
      <c r="C6" s="62">
        <f>C3*0.035</f>
        <v>0.20256250000000001</v>
      </c>
    </row>
    <row r="11" spans="1:3">
      <c r="A11" t="s">
        <v>232</v>
      </c>
    </row>
    <row r="12" spans="1:3">
      <c r="A12" s="57" t="s">
        <v>233</v>
      </c>
    </row>
    <row r="13" spans="1:3">
      <c r="A13" s="57" t="s">
        <v>234</v>
      </c>
    </row>
    <row r="14" spans="1:3">
      <c r="A14" s="57" t="s">
        <v>235</v>
      </c>
    </row>
    <row r="15" spans="1:3">
      <c r="A15" s="57" t="s">
        <v>236</v>
      </c>
    </row>
    <row r="16" spans="1:3">
      <c r="A16" s="57" t="s">
        <v>237</v>
      </c>
    </row>
    <row r="17" spans="1:1">
      <c r="A17" s="57" t="s">
        <v>238</v>
      </c>
    </row>
    <row r="18" spans="1:1">
      <c r="A18" s="57" t="s">
        <v>239</v>
      </c>
    </row>
    <row r="19" spans="1:1">
      <c r="A19" s="65" t="s">
        <v>240</v>
      </c>
    </row>
    <row r="20" spans="1:1">
      <c r="A20" s="57"/>
    </row>
    <row r="21" spans="1:1">
      <c r="A21" s="57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EAC5-D97F-44E2-866B-7D8CEDAAB1E3}">
  <dimension ref="A1:J185"/>
  <sheetViews>
    <sheetView workbookViewId="0"/>
  </sheetViews>
  <sheetFormatPr defaultRowHeight="15"/>
  <cols>
    <col min="1" max="1" width="33.85546875" bestFit="1" customWidth="1"/>
    <col min="2" max="2" width="29.28515625" customWidth="1"/>
    <col min="3" max="3" width="13" bestFit="1" customWidth="1"/>
    <col min="4" max="4" width="22.85546875" bestFit="1" customWidth="1"/>
    <col min="5" max="5" width="17.28515625" bestFit="1" customWidth="1"/>
    <col min="6" max="6" width="17.28515625" customWidth="1"/>
    <col min="7" max="7" width="11.140625" bestFit="1" customWidth="1"/>
    <col min="8" max="8" width="11.7109375" bestFit="1" customWidth="1"/>
    <col min="9" max="9" width="14" style="12" bestFit="1" customWidth="1"/>
    <col min="10" max="10" width="51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</row>
    <row r="2" spans="1:10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/>
      <c r="G2" t="s">
        <v>15</v>
      </c>
      <c r="H2" s="2" t="s">
        <v>16</v>
      </c>
      <c r="I2" s="5">
        <v>9.59</v>
      </c>
    </row>
    <row r="3" spans="1:10">
      <c r="A3" s="2" t="s">
        <v>10</v>
      </c>
      <c r="B3" s="2" t="s">
        <v>11</v>
      </c>
      <c r="C3" s="2" t="s">
        <v>12</v>
      </c>
      <c r="D3" s="2" t="s">
        <v>17</v>
      </c>
      <c r="E3" s="2" t="s">
        <v>18</v>
      </c>
      <c r="F3" s="2"/>
      <c r="G3" t="str">
        <f>G2</f>
        <v>M1</v>
      </c>
      <c r="H3" s="2" t="s">
        <v>16</v>
      </c>
      <c r="I3" s="3">
        <v>0.05</v>
      </c>
      <c r="J3" s="4"/>
    </row>
    <row r="4" spans="1:10">
      <c r="A4" s="2" t="s">
        <v>10</v>
      </c>
      <c r="B4" s="2" t="s">
        <v>11</v>
      </c>
      <c r="C4" s="2" t="s">
        <v>12</v>
      </c>
      <c r="D4" s="2" t="s">
        <v>17</v>
      </c>
      <c r="E4" s="2" t="s">
        <v>19</v>
      </c>
      <c r="F4" s="2"/>
      <c r="G4" t="str">
        <f t="shared" ref="G4:G33" si="0">G3</f>
        <v>M1</v>
      </c>
      <c r="H4" s="2" t="s">
        <v>16</v>
      </c>
      <c r="I4" s="3">
        <v>2.72</v>
      </c>
      <c r="J4" s="4"/>
    </row>
    <row r="5" spans="1:10">
      <c r="A5" s="2" t="s">
        <v>10</v>
      </c>
      <c r="B5" s="2" t="s">
        <v>11</v>
      </c>
      <c r="C5" s="2" t="s">
        <v>12</v>
      </c>
      <c r="D5" s="2" t="s">
        <v>20</v>
      </c>
      <c r="E5" s="2" t="s">
        <v>21</v>
      </c>
      <c r="F5" s="2"/>
      <c r="G5" t="str">
        <f t="shared" si="0"/>
        <v>M1</v>
      </c>
      <c r="H5" s="2" t="s">
        <v>16</v>
      </c>
      <c r="I5" s="3">
        <v>22.03</v>
      </c>
      <c r="J5" s="4"/>
    </row>
    <row r="6" spans="1:10" ht="15" customHeight="1">
      <c r="A6" s="2" t="s">
        <v>10</v>
      </c>
      <c r="B6" s="2" t="s">
        <v>11</v>
      </c>
      <c r="C6" s="2" t="s">
        <v>12</v>
      </c>
      <c r="D6" s="2" t="s">
        <v>17</v>
      </c>
      <c r="E6" s="2" t="s">
        <v>22</v>
      </c>
      <c r="F6" s="2"/>
      <c r="G6" t="str">
        <f t="shared" si="0"/>
        <v>M1</v>
      </c>
      <c r="H6" s="2" t="s">
        <v>23</v>
      </c>
      <c r="I6" s="15">
        <v>6.7286529680365289E-5</v>
      </c>
      <c r="J6" s="7"/>
    </row>
    <row r="7" spans="1:10" ht="15" customHeight="1">
      <c r="A7" s="2" t="s">
        <v>10</v>
      </c>
      <c r="B7" s="2" t="s">
        <v>11</v>
      </c>
      <c r="C7" s="2" t="s">
        <v>12</v>
      </c>
      <c r="D7" s="2" t="s">
        <v>17</v>
      </c>
      <c r="E7" s="2" t="s">
        <v>24</v>
      </c>
      <c r="F7" s="2"/>
      <c r="G7" t="str">
        <f t="shared" si="0"/>
        <v>M1</v>
      </c>
      <c r="H7" s="2" t="s">
        <v>25</v>
      </c>
      <c r="I7" s="3">
        <v>959.95</v>
      </c>
      <c r="J7" s="7"/>
    </row>
    <row r="8" spans="1:10" ht="15" customHeight="1">
      <c r="A8" s="2" t="s">
        <v>10</v>
      </c>
      <c r="B8" s="2" t="s">
        <v>26</v>
      </c>
      <c r="C8" s="2" t="s">
        <v>12</v>
      </c>
      <c r="D8" s="2" t="s">
        <v>27</v>
      </c>
      <c r="E8" s="2" t="s">
        <v>28</v>
      </c>
      <c r="F8" s="2"/>
      <c r="G8" t="str">
        <f t="shared" si="0"/>
        <v>M1</v>
      </c>
      <c r="H8" s="2" t="s">
        <v>29</v>
      </c>
      <c r="I8" s="3">
        <v>1</v>
      </c>
      <c r="J8" s="4"/>
    </row>
    <row r="9" spans="1:10" ht="15" customHeight="1">
      <c r="A9" s="2" t="s">
        <v>10</v>
      </c>
      <c r="B9" s="2" t="s">
        <v>26</v>
      </c>
      <c r="C9" s="2" t="s">
        <v>12</v>
      </c>
      <c r="D9" s="2" t="s">
        <v>30</v>
      </c>
      <c r="E9" s="2" t="s">
        <v>31</v>
      </c>
      <c r="F9" s="2"/>
      <c r="G9" t="str">
        <f t="shared" si="0"/>
        <v>M1</v>
      </c>
      <c r="H9" s="2" t="s">
        <v>16</v>
      </c>
      <c r="I9" s="3">
        <v>8.9559999999999995</v>
      </c>
      <c r="J9" s="9"/>
    </row>
    <row r="10" spans="1:10" ht="15" customHeight="1">
      <c r="A10" s="2" t="s">
        <v>10</v>
      </c>
      <c r="B10" s="2" t="s">
        <v>26</v>
      </c>
      <c r="C10" s="2" t="s">
        <v>12</v>
      </c>
      <c r="D10" s="2" t="s">
        <v>32</v>
      </c>
      <c r="E10" s="2"/>
      <c r="F10" s="2" t="s">
        <v>33</v>
      </c>
      <c r="G10" t="str">
        <f t="shared" si="0"/>
        <v>M1</v>
      </c>
      <c r="H10" s="2" t="s">
        <v>16</v>
      </c>
      <c r="I10" s="3">
        <v>0.32</v>
      </c>
      <c r="J10" s="4"/>
    </row>
    <row r="11" spans="1:10" ht="15" customHeight="1">
      <c r="A11" s="2" t="s">
        <v>10</v>
      </c>
      <c r="B11" s="2" t="s">
        <v>26</v>
      </c>
      <c r="C11" s="2" t="s">
        <v>12</v>
      </c>
      <c r="D11" s="2" t="s">
        <v>32</v>
      </c>
      <c r="E11" s="2"/>
      <c r="F11" s="2" t="s">
        <v>34</v>
      </c>
      <c r="G11" t="str">
        <f t="shared" si="0"/>
        <v>M1</v>
      </c>
      <c r="H11" s="2" t="s">
        <v>16</v>
      </c>
      <c r="I11" s="3">
        <v>0.183</v>
      </c>
      <c r="J11" s="4"/>
    </row>
    <row r="12" spans="1:10" ht="15" customHeight="1">
      <c r="A12" s="2" t="s">
        <v>10</v>
      </c>
      <c r="B12" s="2" t="s">
        <v>35</v>
      </c>
      <c r="C12" s="2" t="s">
        <v>12</v>
      </c>
      <c r="D12" s="2"/>
      <c r="E12" s="2"/>
      <c r="F12" s="2"/>
      <c r="G12" t="str">
        <f t="shared" si="0"/>
        <v>M1</v>
      </c>
      <c r="H12" s="2" t="s">
        <v>36</v>
      </c>
      <c r="I12" s="3">
        <v>30</v>
      </c>
      <c r="J12" s="4"/>
    </row>
    <row r="13" spans="1:10" ht="15" customHeight="1">
      <c r="A13" s="2" t="s">
        <v>10</v>
      </c>
      <c r="B13" s="2" t="s">
        <v>37</v>
      </c>
      <c r="C13" s="2" t="s">
        <v>12</v>
      </c>
      <c r="D13" s="2"/>
      <c r="E13" s="2"/>
      <c r="F13" s="2"/>
      <c r="G13" t="str">
        <f t="shared" si="0"/>
        <v>M1</v>
      </c>
      <c r="H13" s="2" t="s">
        <v>38</v>
      </c>
      <c r="I13" s="3">
        <v>0.8</v>
      </c>
      <c r="J13" s="4"/>
    </row>
    <row r="14" spans="1:10" ht="15" customHeight="1">
      <c r="A14" s="2" t="s">
        <v>10</v>
      </c>
      <c r="B14" s="2" t="s">
        <v>39</v>
      </c>
      <c r="C14" s="2" t="s">
        <v>12</v>
      </c>
      <c r="D14" s="2"/>
      <c r="E14" s="2"/>
      <c r="F14" s="2"/>
      <c r="G14" t="str">
        <f t="shared" si="0"/>
        <v>M1</v>
      </c>
      <c r="H14" s="2" t="s">
        <v>40</v>
      </c>
      <c r="I14" s="3">
        <f>I16*2</f>
        <v>230</v>
      </c>
      <c r="J14" s="4"/>
    </row>
    <row r="15" spans="1:10" ht="15" customHeight="1">
      <c r="A15" s="2" t="s">
        <v>10</v>
      </c>
      <c r="B15" s="2" t="s">
        <v>41</v>
      </c>
      <c r="C15" s="2" t="s">
        <v>12</v>
      </c>
      <c r="D15" s="2"/>
      <c r="E15" s="2"/>
      <c r="F15" s="2"/>
      <c r="G15" t="str">
        <f t="shared" si="0"/>
        <v>M1</v>
      </c>
      <c r="H15" s="2" t="s">
        <v>40</v>
      </c>
      <c r="I15" s="3">
        <f>I16*5</f>
        <v>575</v>
      </c>
      <c r="J15" s="4"/>
    </row>
    <row r="16" spans="1:10" ht="15" customHeight="1">
      <c r="A16" s="2" t="s">
        <v>10</v>
      </c>
      <c r="B16" s="2" t="s">
        <v>42</v>
      </c>
      <c r="C16" s="2" t="s">
        <v>12</v>
      </c>
      <c r="D16" s="2"/>
      <c r="E16" s="2"/>
      <c r="F16" s="2"/>
      <c r="G16" t="str">
        <f t="shared" si="0"/>
        <v>M1</v>
      </c>
      <c r="H16" s="2" t="s">
        <v>40</v>
      </c>
      <c r="I16" s="3">
        <v>115</v>
      </c>
      <c r="J16" s="4"/>
    </row>
    <row r="17" spans="1:10" ht="15" customHeight="1">
      <c r="A17" s="2" t="s">
        <v>43</v>
      </c>
      <c r="B17" s="2" t="s">
        <v>11</v>
      </c>
      <c r="C17" s="2" t="s">
        <v>12</v>
      </c>
      <c r="D17" s="2" t="s">
        <v>27</v>
      </c>
      <c r="E17" s="2" t="s">
        <v>28</v>
      </c>
      <c r="F17" s="2"/>
      <c r="G17" t="str">
        <f t="shared" si="0"/>
        <v>M1</v>
      </c>
      <c r="H17" s="2" t="s">
        <v>16</v>
      </c>
      <c r="I17" s="3">
        <v>2.5299999999999998</v>
      </c>
      <c r="J17" s="4"/>
    </row>
    <row r="18" spans="1:10" ht="15" customHeight="1">
      <c r="A18" s="2" t="s">
        <v>43</v>
      </c>
      <c r="B18" s="2" t="s">
        <v>11</v>
      </c>
      <c r="C18" s="2" t="s">
        <v>12</v>
      </c>
      <c r="D18" s="2" t="s">
        <v>17</v>
      </c>
      <c r="E18" s="2" t="s">
        <v>19</v>
      </c>
      <c r="F18" s="2"/>
      <c r="G18" t="str">
        <f t="shared" si="0"/>
        <v>M1</v>
      </c>
      <c r="H18" s="2" t="s">
        <v>16</v>
      </c>
      <c r="I18" s="3">
        <v>0.94</v>
      </c>
    </row>
    <row r="19" spans="1:10" ht="15" customHeight="1">
      <c r="A19" s="2" t="s">
        <v>43</v>
      </c>
      <c r="B19" s="2" t="s">
        <v>11</v>
      </c>
      <c r="C19" s="2" t="s">
        <v>12</v>
      </c>
      <c r="D19" s="2" t="s">
        <v>20</v>
      </c>
      <c r="E19" s="2" t="s">
        <v>21</v>
      </c>
      <c r="F19" s="2"/>
      <c r="G19" t="str">
        <f t="shared" si="0"/>
        <v>M1</v>
      </c>
      <c r="H19" s="2" t="s">
        <v>16</v>
      </c>
      <c r="I19" s="10">
        <v>404</v>
      </c>
      <c r="J19" s="4"/>
    </row>
    <row r="20" spans="1:10" ht="15.75" customHeight="1">
      <c r="A20" s="2" t="s">
        <v>43</v>
      </c>
      <c r="B20" s="2" t="s">
        <v>11</v>
      </c>
      <c r="C20" s="2" t="s">
        <v>12</v>
      </c>
      <c r="D20" s="2" t="s">
        <v>17</v>
      </c>
      <c r="E20" s="2" t="s">
        <v>22</v>
      </c>
      <c r="F20" s="2"/>
      <c r="G20" t="str">
        <f t="shared" si="0"/>
        <v>M1</v>
      </c>
      <c r="H20" s="2" t="s">
        <v>44</v>
      </c>
      <c r="I20" s="15">
        <v>2.9716643835616435E-3</v>
      </c>
      <c r="J20" s="4"/>
    </row>
    <row r="21" spans="1:10" ht="15.75" customHeight="1">
      <c r="A21" s="2" t="s">
        <v>43</v>
      </c>
      <c r="B21" s="2" t="s">
        <v>11</v>
      </c>
      <c r="C21" s="2" t="s">
        <v>12</v>
      </c>
      <c r="D21" s="2" t="s">
        <v>17</v>
      </c>
      <c r="E21" s="2" t="s">
        <v>24</v>
      </c>
      <c r="F21" s="2"/>
      <c r="G21" t="str">
        <f t="shared" si="0"/>
        <v>M1</v>
      </c>
      <c r="H21" s="2" t="s">
        <v>25</v>
      </c>
      <c r="I21" s="3">
        <v>41.3</v>
      </c>
      <c r="J21" s="4"/>
    </row>
    <row r="22" spans="1:10" ht="15.75" customHeight="1">
      <c r="A22" s="2" t="s">
        <v>43</v>
      </c>
      <c r="B22" s="2" t="s">
        <v>11</v>
      </c>
      <c r="C22" s="2" t="s">
        <v>12</v>
      </c>
      <c r="D22" s="2" t="s">
        <v>17</v>
      </c>
      <c r="E22" s="2" t="s">
        <v>45</v>
      </c>
      <c r="F22" s="2"/>
      <c r="G22" t="str">
        <f t="shared" si="0"/>
        <v>M1</v>
      </c>
      <c r="H22" s="2" t="s">
        <v>25</v>
      </c>
      <c r="I22" s="3">
        <v>1141.3</v>
      </c>
      <c r="J22" s="4"/>
    </row>
    <row r="23" spans="1:10" ht="15.75" customHeight="1">
      <c r="A23" s="2" t="s">
        <v>43</v>
      </c>
      <c r="B23" s="2" t="s">
        <v>26</v>
      </c>
      <c r="C23" s="2" t="s">
        <v>12</v>
      </c>
      <c r="D23" s="2" t="s">
        <v>46</v>
      </c>
      <c r="E23" s="2" t="s">
        <v>47</v>
      </c>
      <c r="F23" s="2"/>
      <c r="G23" t="str">
        <f t="shared" si="0"/>
        <v>M1</v>
      </c>
      <c r="H23" s="2" t="s">
        <v>29</v>
      </c>
      <c r="I23" s="3">
        <v>1</v>
      </c>
      <c r="J23" s="4"/>
    </row>
    <row r="24" spans="1:10" ht="15.75" customHeight="1">
      <c r="A24" s="2" t="s">
        <v>43</v>
      </c>
      <c r="B24" s="2" t="s">
        <v>26</v>
      </c>
      <c r="C24" s="2" t="s">
        <v>12</v>
      </c>
      <c r="D24" s="2" t="s">
        <v>46</v>
      </c>
      <c r="E24" s="2" t="s">
        <v>48</v>
      </c>
      <c r="F24" s="2"/>
      <c r="G24" t="str">
        <f t="shared" si="0"/>
        <v>M1</v>
      </c>
      <c r="H24" s="2" t="s">
        <v>16</v>
      </c>
      <c r="I24" s="3">
        <v>1.37</v>
      </c>
      <c r="J24" s="4"/>
    </row>
    <row r="25" spans="1:10" ht="15.75" customHeight="1">
      <c r="A25" s="2" t="s">
        <v>43</v>
      </c>
      <c r="B25" s="2" t="s">
        <v>26</v>
      </c>
      <c r="C25" s="2" t="s">
        <v>12</v>
      </c>
      <c r="D25" s="2" t="s">
        <v>30</v>
      </c>
      <c r="E25" s="2" t="s">
        <v>49</v>
      </c>
      <c r="F25" s="2"/>
      <c r="G25" t="str">
        <f t="shared" si="0"/>
        <v>M1</v>
      </c>
      <c r="H25" s="2" t="s">
        <v>16</v>
      </c>
      <c r="I25" s="5">
        <v>0.97</v>
      </c>
    </row>
    <row r="26" spans="1:10" ht="15.75" customHeight="1">
      <c r="A26" s="2" t="s">
        <v>43</v>
      </c>
      <c r="B26" s="2" t="s">
        <v>26</v>
      </c>
      <c r="C26" s="2" t="s">
        <v>12</v>
      </c>
      <c r="D26" s="2" t="s">
        <v>32</v>
      </c>
      <c r="E26" s="2"/>
      <c r="F26" s="2" t="s">
        <v>33</v>
      </c>
      <c r="G26" t="str">
        <f t="shared" si="0"/>
        <v>M1</v>
      </c>
      <c r="H26" s="2" t="s">
        <v>16</v>
      </c>
      <c r="I26" s="3">
        <v>0.32</v>
      </c>
      <c r="J26" s="7"/>
    </row>
    <row r="27" spans="1:10" ht="15.75" customHeight="1">
      <c r="A27" s="2" t="s">
        <v>43</v>
      </c>
      <c r="B27" s="2" t="s">
        <v>26</v>
      </c>
      <c r="C27" s="2" t="s">
        <v>12</v>
      </c>
      <c r="D27" s="2" t="s">
        <v>32</v>
      </c>
      <c r="E27" s="2"/>
      <c r="F27" s="2" t="s">
        <v>34</v>
      </c>
      <c r="G27" t="str">
        <f t="shared" si="0"/>
        <v>M1</v>
      </c>
      <c r="H27" s="2" t="s">
        <v>16</v>
      </c>
      <c r="I27" s="3">
        <v>0.12</v>
      </c>
      <c r="J27" s="4"/>
    </row>
    <row r="28" spans="1:10" ht="15.75" customHeight="1">
      <c r="A28" s="2" t="s">
        <v>43</v>
      </c>
      <c r="B28" s="2" t="s">
        <v>26</v>
      </c>
      <c r="C28" s="2" t="s">
        <v>12</v>
      </c>
      <c r="D28" s="2" t="s">
        <v>30</v>
      </c>
      <c r="E28" s="2" t="s">
        <v>50</v>
      </c>
      <c r="F28" s="2"/>
      <c r="G28" t="str">
        <f t="shared" si="0"/>
        <v>M1</v>
      </c>
      <c r="H28" s="2" t="s">
        <v>16</v>
      </c>
      <c r="I28" s="3">
        <v>0.03</v>
      </c>
      <c r="J28" s="4"/>
    </row>
    <row r="29" spans="1:10" ht="15.75" customHeight="1">
      <c r="A29" s="2" t="s">
        <v>43</v>
      </c>
      <c r="B29" s="2" t="s">
        <v>35</v>
      </c>
      <c r="C29" s="2" t="s">
        <v>12</v>
      </c>
      <c r="D29" s="2"/>
      <c r="E29" s="2"/>
      <c r="F29" s="2"/>
      <c r="G29" t="str">
        <f t="shared" si="0"/>
        <v>M1</v>
      </c>
      <c r="H29" s="2" t="s">
        <v>36</v>
      </c>
      <c r="I29" s="3">
        <v>30</v>
      </c>
      <c r="J29" s="4"/>
    </row>
    <row r="30" spans="1:10" ht="15.75" customHeight="1">
      <c r="A30" s="2" t="s">
        <v>43</v>
      </c>
      <c r="B30" s="2" t="s">
        <v>37</v>
      </c>
      <c r="C30" s="2" t="s">
        <v>12</v>
      </c>
      <c r="D30" s="2"/>
      <c r="E30" s="2"/>
      <c r="F30" s="2"/>
      <c r="G30" t="str">
        <f t="shared" si="0"/>
        <v>M1</v>
      </c>
      <c r="H30" s="2" t="s">
        <v>38</v>
      </c>
      <c r="I30" s="3">
        <v>0.8</v>
      </c>
    </row>
    <row r="31" spans="1:10" ht="15.75" customHeight="1">
      <c r="A31" s="2" t="s">
        <v>43</v>
      </c>
      <c r="B31" s="2" t="s">
        <v>39</v>
      </c>
      <c r="C31" s="2" t="s">
        <v>12</v>
      </c>
      <c r="D31" s="2"/>
      <c r="E31" s="2"/>
      <c r="F31" s="2"/>
      <c r="G31" t="str">
        <f t="shared" si="0"/>
        <v>M1</v>
      </c>
      <c r="H31" s="2" t="s">
        <v>40</v>
      </c>
      <c r="I31" s="10">
        <v>1400</v>
      </c>
      <c r="J31" s="9" t="s">
        <v>51</v>
      </c>
    </row>
    <row r="32" spans="1:10" ht="15.75" customHeight="1">
      <c r="A32" s="2" t="s">
        <v>43</v>
      </c>
      <c r="B32" s="2" t="s">
        <v>41</v>
      </c>
      <c r="C32" s="2" t="s">
        <v>12</v>
      </c>
      <c r="D32" s="2"/>
      <c r="E32" s="2"/>
      <c r="F32" s="2"/>
      <c r="G32" t="str">
        <f t="shared" si="0"/>
        <v>M1</v>
      </c>
      <c r="H32" s="2" t="s">
        <v>40</v>
      </c>
      <c r="I32" s="3">
        <v>3500</v>
      </c>
      <c r="J32" s="9" t="s">
        <v>51</v>
      </c>
    </row>
    <row r="33" spans="1:10" ht="15.75" customHeight="1">
      <c r="A33" s="2" t="s">
        <v>43</v>
      </c>
      <c r="B33" s="2" t="s">
        <v>42</v>
      </c>
      <c r="C33" s="2" t="s">
        <v>12</v>
      </c>
      <c r="D33" s="2"/>
      <c r="E33" s="2"/>
      <c r="F33" s="2"/>
      <c r="G33" t="str">
        <f t="shared" si="0"/>
        <v>M1</v>
      </c>
      <c r="H33" s="2" t="s">
        <v>40</v>
      </c>
      <c r="I33" s="3">
        <v>700</v>
      </c>
      <c r="J33" s="9" t="s">
        <v>51</v>
      </c>
    </row>
    <row r="34" spans="1:10" ht="15" customHeight="1">
      <c r="A34" s="2"/>
      <c r="B34" s="2"/>
      <c r="C34" s="2"/>
      <c r="D34" s="2"/>
      <c r="E34" s="2"/>
      <c r="F34" s="2"/>
      <c r="G34" s="2"/>
      <c r="H34" s="2"/>
      <c r="I34" s="3"/>
      <c r="J34" s="4"/>
    </row>
    <row r="35" spans="1:10" ht="15" customHeight="1">
      <c r="A35" s="2"/>
      <c r="B35" s="2"/>
      <c r="C35" s="2"/>
      <c r="D35" s="2"/>
      <c r="E35" s="2"/>
      <c r="F35" s="2"/>
      <c r="H35" s="2"/>
      <c r="I35" s="3"/>
      <c r="J35" s="4"/>
    </row>
    <row r="36" spans="1:10" ht="15" customHeight="1">
      <c r="A36" s="2"/>
      <c r="B36" s="2"/>
      <c r="C36" s="2"/>
      <c r="D36" s="2"/>
      <c r="E36" s="2"/>
      <c r="F36" s="2"/>
      <c r="H36" s="2"/>
      <c r="I36" s="3"/>
      <c r="J36" s="4"/>
    </row>
    <row r="37" spans="1:10" ht="15" customHeight="1">
      <c r="A37" s="2"/>
      <c r="B37" s="2"/>
      <c r="C37" s="2"/>
      <c r="D37" s="2"/>
      <c r="E37" s="2"/>
      <c r="F37" s="2"/>
      <c r="H37" s="2"/>
      <c r="I37" s="3"/>
      <c r="J37" s="4"/>
    </row>
    <row r="38" spans="1:10" ht="15" customHeight="1">
      <c r="A38" s="2"/>
      <c r="B38" s="2"/>
      <c r="C38" s="2"/>
      <c r="D38" s="2"/>
      <c r="E38" s="2"/>
      <c r="F38" s="2"/>
      <c r="H38" s="2"/>
      <c r="I38" s="3"/>
      <c r="J38" s="4"/>
    </row>
    <row r="39" spans="1:10" ht="15" customHeight="1">
      <c r="A39" s="2"/>
      <c r="B39" s="2"/>
      <c r="C39" s="2"/>
      <c r="D39" s="2"/>
      <c r="E39" s="2"/>
      <c r="F39" s="2"/>
      <c r="H39" s="2"/>
      <c r="I39" s="3"/>
      <c r="J39" s="4"/>
    </row>
    <row r="40" spans="1:10" ht="15" customHeight="1">
      <c r="A40" s="2"/>
      <c r="B40" s="2"/>
      <c r="C40" s="2"/>
      <c r="D40" s="2"/>
      <c r="E40" s="2"/>
      <c r="F40" s="2"/>
      <c r="H40" s="2"/>
      <c r="I40" s="3"/>
    </row>
    <row r="41" spans="1:10" ht="15" customHeight="1">
      <c r="A41" s="2"/>
      <c r="B41" s="2"/>
      <c r="C41" s="2"/>
      <c r="D41" s="2"/>
      <c r="E41" s="2"/>
      <c r="F41" s="2"/>
      <c r="G41" s="2"/>
      <c r="H41" s="2"/>
      <c r="I41" s="3"/>
      <c r="J41" s="4"/>
    </row>
    <row r="42" spans="1:10" ht="15" customHeight="1">
      <c r="A42" s="2"/>
      <c r="B42" s="2"/>
      <c r="C42" s="2"/>
      <c r="D42" s="2"/>
      <c r="E42" s="2"/>
      <c r="F42" s="2"/>
      <c r="H42" s="2"/>
      <c r="I42" s="3"/>
      <c r="J42" s="4"/>
    </row>
    <row r="43" spans="1:10" ht="15" customHeight="1">
      <c r="A43" s="2"/>
      <c r="B43" s="2"/>
      <c r="C43" s="2"/>
      <c r="D43" s="2"/>
      <c r="E43" s="2"/>
      <c r="F43" s="2"/>
      <c r="G43" s="2"/>
      <c r="H43" s="2"/>
      <c r="I43" s="3"/>
      <c r="J43" s="4"/>
    </row>
    <row r="44" spans="1:10" ht="15" customHeight="1">
      <c r="A44" s="2"/>
      <c r="B44" s="2"/>
      <c r="C44" s="2"/>
      <c r="D44" s="2"/>
      <c r="E44" s="2"/>
      <c r="F44" s="2"/>
      <c r="G44" s="2"/>
      <c r="H44" s="2"/>
      <c r="I44" s="3"/>
      <c r="J44" s="4"/>
    </row>
    <row r="45" spans="1:10" ht="15" customHeight="1">
      <c r="A45" s="2"/>
      <c r="B45" s="2"/>
      <c r="C45" s="2"/>
      <c r="D45" s="2"/>
      <c r="E45" s="2"/>
      <c r="F45" s="2"/>
      <c r="H45" s="2"/>
      <c r="I45" s="8"/>
    </row>
    <row r="46" spans="1:10" ht="15" customHeight="1">
      <c r="A46" s="2"/>
      <c r="B46" s="2"/>
      <c r="C46" s="2"/>
      <c r="D46" s="2"/>
      <c r="E46" s="2"/>
      <c r="F46" s="2"/>
      <c r="H46" s="2"/>
      <c r="I46" s="2"/>
      <c r="J46" s="7"/>
    </row>
    <row r="47" spans="1:10" ht="15" customHeight="1">
      <c r="A47" s="2"/>
      <c r="B47" s="2"/>
      <c r="C47" s="2"/>
      <c r="D47" s="2"/>
      <c r="E47" s="2"/>
      <c r="F47" s="2"/>
      <c r="H47" s="2"/>
      <c r="I47" s="6"/>
      <c r="J47" s="7"/>
    </row>
    <row r="48" spans="1:10" ht="15" customHeight="1">
      <c r="A48" s="2"/>
      <c r="B48" s="2"/>
      <c r="C48" s="2"/>
      <c r="D48" s="2"/>
      <c r="E48" s="2"/>
      <c r="F48" s="2"/>
      <c r="H48" s="2"/>
      <c r="I48" s="11"/>
      <c r="J48" s="7"/>
    </row>
    <row r="49" spans="1:10" ht="15" customHeight="1">
      <c r="A49" s="2"/>
      <c r="B49" s="2"/>
      <c r="C49" s="2"/>
      <c r="D49" s="2"/>
      <c r="E49" s="2"/>
      <c r="F49" s="2"/>
      <c r="H49" s="2"/>
      <c r="I49" s="6"/>
    </row>
    <row r="50" spans="1:10">
      <c r="A50" s="2"/>
      <c r="B50" s="2"/>
      <c r="C50" s="2"/>
      <c r="D50" s="2"/>
      <c r="E50" s="2"/>
      <c r="F50" s="2"/>
      <c r="H50" s="2"/>
      <c r="I50" s="6"/>
    </row>
    <row r="51" spans="1:10">
      <c r="A51" s="2"/>
      <c r="B51" s="2"/>
      <c r="C51" s="2"/>
      <c r="D51" s="2"/>
      <c r="E51" s="2"/>
      <c r="F51" s="2"/>
      <c r="H51" s="2"/>
      <c r="I51" s="6"/>
      <c r="J51" s="4"/>
    </row>
    <row r="52" spans="1:10">
      <c r="A52" s="2"/>
      <c r="B52" s="2"/>
      <c r="C52" s="2"/>
      <c r="D52" s="2"/>
      <c r="E52" s="2"/>
      <c r="F52" s="2"/>
      <c r="H52" s="2"/>
      <c r="I52" s="2"/>
      <c r="J52" s="7"/>
    </row>
    <row r="53" spans="1:10">
      <c r="A53" s="2"/>
      <c r="B53" s="2"/>
      <c r="C53" s="2"/>
      <c r="D53" s="2"/>
      <c r="E53" s="2"/>
      <c r="F53" s="2"/>
      <c r="G53" s="2"/>
      <c r="H53" s="2"/>
      <c r="I53" s="6"/>
      <c r="J53" s="7"/>
    </row>
    <row r="54" spans="1:10">
      <c r="A54" s="2"/>
      <c r="B54" s="2"/>
      <c r="C54" s="2"/>
      <c r="D54" s="2"/>
      <c r="E54" s="2"/>
      <c r="F54" s="2"/>
      <c r="G54" s="2"/>
      <c r="H54" s="2"/>
      <c r="I54" s="11"/>
      <c r="J54" s="7"/>
    </row>
    <row r="55" spans="1:10">
      <c r="A55" s="2"/>
      <c r="B55" s="2"/>
      <c r="C55" s="2"/>
      <c r="D55" s="2"/>
      <c r="E55" s="2"/>
      <c r="F55" s="2"/>
      <c r="G55" s="2"/>
      <c r="H55" s="2"/>
      <c r="I55" s="3"/>
      <c r="J55" s="7"/>
    </row>
    <row r="56" spans="1:10">
      <c r="A56" s="2"/>
      <c r="B56" s="2"/>
      <c r="C56" s="2"/>
      <c r="D56" s="2"/>
      <c r="E56" s="2"/>
      <c r="F56" s="2"/>
      <c r="H56" s="2"/>
      <c r="I56" s="3"/>
      <c r="J56" s="4"/>
    </row>
    <row r="57" spans="1:10">
      <c r="A57" s="2"/>
      <c r="B57" s="2"/>
      <c r="C57" s="2"/>
      <c r="D57" s="2"/>
      <c r="E57" s="2"/>
      <c r="F57" s="2"/>
      <c r="H57" s="2"/>
      <c r="I57" s="5"/>
    </row>
    <row r="58" spans="1:10">
      <c r="A58" s="2"/>
      <c r="B58" s="2"/>
      <c r="C58" s="2"/>
      <c r="D58" s="2"/>
      <c r="E58" s="2"/>
      <c r="F58" s="2"/>
      <c r="H58" s="2"/>
      <c r="I58" s="5"/>
    </row>
    <row r="59" spans="1:10">
      <c r="A59" s="2"/>
      <c r="B59" s="2"/>
      <c r="C59" s="2"/>
      <c r="D59" s="2"/>
      <c r="E59" s="2"/>
      <c r="F59" s="2"/>
      <c r="H59" s="2"/>
      <c r="I59" s="5"/>
    </row>
    <row r="60" spans="1:10">
      <c r="A60" s="2"/>
      <c r="B60" s="2"/>
      <c r="C60" s="2"/>
      <c r="D60" s="2"/>
      <c r="E60" s="2"/>
      <c r="F60" s="2"/>
      <c r="H60" s="2"/>
      <c r="I60" s="5"/>
    </row>
    <row r="61" spans="1:10">
      <c r="A61" s="2"/>
      <c r="B61" s="2"/>
      <c r="C61" s="2"/>
      <c r="D61" s="2"/>
      <c r="E61" s="2"/>
      <c r="F61" s="2"/>
      <c r="H61" s="2"/>
      <c r="I61"/>
      <c r="J61" s="4"/>
    </row>
    <row r="62" spans="1:10">
      <c r="A62" s="2"/>
      <c r="B62" s="2"/>
      <c r="C62" s="2"/>
      <c r="D62" s="2"/>
      <c r="E62" s="2"/>
      <c r="F62" s="2"/>
      <c r="H62" s="2"/>
      <c r="I62" s="3"/>
      <c r="J62" s="4"/>
    </row>
    <row r="63" spans="1:10">
      <c r="A63" s="2"/>
      <c r="B63" s="2"/>
      <c r="C63" s="2"/>
      <c r="D63" s="2"/>
      <c r="E63" s="2"/>
      <c r="F63" s="2"/>
      <c r="H63" s="2"/>
      <c r="I63"/>
      <c r="J63" s="4"/>
    </row>
    <row r="64" spans="1:10">
      <c r="A64" s="2"/>
      <c r="B64" s="2"/>
      <c r="C64" s="2"/>
      <c r="D64" s="2"/>
      <c r="E64" s="2"/>
      <c r="F64" s="2"/>
      <c r="G64" s="2"/>
      <c r="H64" s="2"/>
      <c r="I64" s="3"/>
    </row>
    <row r="65" spans="1:10">
      <c r="A65" s="2"/>
      <c r="B65" s="2"/>
      <c r="C65" s="2"/>
      <c r="D65" s="2"/>
      <c r="E65" s="2"/>
      <c r="F65" s="2"/>
      <c r="G65" s="2"/>
      <c r="H65" s="2"/>
      <c r="I65" s="3"/>
    </row>
    <row r="66" spans="1:10">
      <c r="C66" s="2"/>
      <c r="I66"/>
    </row>
    <row r="67" spans="1:10">
      <c r="C67" s="2"/>
      <c r="I67"/>
    </row>
    <row r="68" spans="1:10">
      <c r="B68" s="2"/>
      <c r="C68" s="2"/>
      <c r="D68" s="2"/>
      <c r="E68" s="2"/>
      <c r="F68" s="2"/>
      <c r="H68" s="2"/>
      <c r="I68" s="5"/>
    </row>
    <row r="69" spans="1:10">
      <c r="C69" s="2"/>
      <c r="H69" s="2"/>
      <c r="I69"/>
    </row>
    <row r="70" spans="1:10">
      <c r="C70" s="2"/>
      <c r="H70" s="2"/>
      <c r="I70"/>
    </row>
    <row r="71" spans="1:10">
      <c r="B71" s="2"/>
      <c r="C71" s="2"/>
      <c r="D71" s="2"/>
      <c r="E71" s="2"/>
      <c r="F71" s="2"/>
      <c r="G71" s="2"/>
      <c r="H71" s="2"/>
      <c r="I71" s="2"/>
      <c r="J71" s="4"/>
    </row>
    <row r="72" spans="1:10">
      <c r="C72" s="2"/>
      <c r="I72"/>
    </row>
    <row r="73" spans="1:10">
      <c r="C73" s="2"/>
      <c r="I73" s="13"/>
    </row>
    <row r="74" spans="1:10">
      <c r="C74" s="2"/>
      <c r="I74" s="13"/>
    </row>
    <row r="75" spans="1:10">
      <c r="C75" s="2"/>
      <c r="I75" s="13"/>
    </row>
    <row r="76" spans="1:10">
      <c r="C76" s="2"/>
      <c r="I76" s="13"/>
    </row>
    <row r="77" spans="1:10">
      <c r="C77" s="2"/>
      <c r="I77"/>
    </row>
    <row r="78" spans="1:10">
      <c r="C78" s="2"/>
      <c r="I78"/>
    </row>
    <row r="79" spans="1:10">
      <c r="B79" s="2"/>
      <c r="C79" s="2"/>
      <c r="D79" s="2"/>
      <c r="E79" s="2"/>
      <c r="F79" s="2"/>
      <c r="H79" s="2"/>
      <c r="I79" s="5"/>
    </row>
    <row r="80" spans="1:10">
      <c r="C80" s="2"/>
      <c r="H80" s="2"/>
      <c r="I80"/>
    </row>
    <row r="81" spans="1:10">
      <c r="C81" s="2"/>
      <c r="H81" s="2"/>
      <c r="I81"/>
    </row>
    <row r="82" spans="1:10">
      <c r="C82" s="2"/>
      <c r="I82"/>
    </row>
    <row r="83" spans="1:10">
      <c r="C83" s="2"/>
      <c r="I83" s="13"/>
    </row>
    <row r="84" spans="1:10">
      <c r="C84" s="2"/>
      <c r="I84" s="13"/>
    </row>
    <row r="85" spans="1:10">
      <c r="C85" s="2"/>
      <c r="I85" s="13"/>
    </row>
    <row r="86" spans="1:10">
      <c r="C86" s="2"/>
      <c r="I86" s="13"/>
    </row>
    <row r="87" spans="1:10">
      <c r="A87" s="2"/>
      <c r="B87" s="2"/>
      <c r="C87" s="2"/>
      <c r="D87" s="2"/>
      <c r="E87" s="2"/>
      <c r="F87" s="2"/>
      <c r="G87" s="2"/>
      <c r="H87" s="2"/>
      <c r="I87" s="6"/>
      <c r="J87" s="7"/>
    </row>
    <row r="88" spans="1:10">
      <c r="C88" s="2"/>
      <c r="I88"/>
    </row>
    <row r="89" spans="1:10">
      <c r="A89" s="2"/>
      <c r="B89" s="2"/>
      <c r="C89" s="2"/>
      <c r="D89" s="2"/>
      <c r="E89" s="2"/>
      <c r="F89" s="2"/>
      <c r="G89" s="2"/>
      <c r="H89" s="2"/>
      <c r="I89" s="6"/>
      <c r="J89" s="7"/>
    </row>
    <row r="90" spans="1:10">
      <c r="A90" s="2"/>
      <c r="B90" s="2"/>
      <c r="C90" s="2"/>
      <c r="D90" s="2"/>
      <c r="E90" s="2"/>
      <c r="F90" s="2"/>
      <c r="H90" s="2"/>
      <c r="I90" s="3"/>
      <c r="J90" s="4"/>
    </row>
    <row r="91" spans="1:10">
      <c r="A91" s="2"/>
      <c r="B91" s="2"/>
      <c r="C91" s="2"/>
      <c r="D91" s="2"/>
      <c r="E91" s="2"/>
      <c r="F91" s="2"/>
      <c r="H91" s="2"/>
      <c r="I91" s="3"/>
      <c r="J91" s="4"/>
    </row>
    <row r="92" spans="1:10">
      <c r="A92" s="2"/>
      <c r="B92" s="2"/>
      <c r="C92" s="2"/>
      <c r="D92" s="2"/>
      <c r="E92" s="2"/>
      <c r="F92" s="2"/>
      <c r="G92" s="2"/>
      <c r="H92" s="2"/>
      <c r="I92" s="3"/>
      <c r="J92" s="4"/>
    </row>
    <row r="93" spans="1:10">
      <c r="A93" s="2"/>
      <c r="B93" s="2"/>
      <c r="C93" s="2"/>
      <c r="D93" s="2"/>
      <c r="E93" s="2"/>
      <c r="F93" s="2"/>
      <c r="G93" s="2"/>
      <c r="H93" s="2"/>
      <c r="I93" s="3"/>
      <c r="J93" s="4"/>
    </row>
    <row r="94" spans="1:10">
      <c r="A94" s="2"/>
      <c r="B94" s="2"/>
      <c r="C94" s="2"/>
      <c r="D94" s="2"/>
      <c r="E94" s="2"/>
      <c r="F94" s="2"/>
      <c r="H94" s="2"/>
      <c r="I94" s="6"/>
    </row>
    <row r="95" spans="1:10">
      <c r="A95" s="2"/>
      <c r="B95" s="2"/>
      <c r="C95" s="2"/>
      <c r="D95" s="2"/>
      <c r="E95" s="2"/>
      <c r="F95" s="2"/>
      <c r="H95" s="2"/>
      <c r="I95" s="5"/>
    </row>
    <row r="96" spans="1:10">
      <c r="A96" s="2"/>
      <c r="B96" s="2"/>
      <c r="C96" s="2"/>
      <c r="D96" s="2"/>
      <c r="E96" s="2"/>
      <c r="F96" s="2"/>
      <c r="H96" s="2"/>
      <c r="I96" s="6"/>
    </row>
    <row r="97" spans="1:10">
      <c r="A97" s="2"/>
      <c r="B97" s="2"/>
      <c r="C97" s="2"/>
      <c r="D97" s="2"/>
      <c r="E97" s="2"/>
      <c r="F97" s="2"/>
      <c r="H97" s="2"/>
      <c r="I97" s="6"/>
    </row>
    <row r="98" spans="1:10">
      <c r="A98" s="2"/>
      <c r="B98" s="2"/>
      <c r="C98" s="2"/>
      <c r="D98" s="2"/>
      <c r="E98" s="2"/>
      <c r="F98" s="2"/>
      <c r="H98" s="2"/>
      <c r="I98" s="3"/>
    </row>
    <row r="99" spans="1:10">
      <c r="A99" s="2"/>
      <c r="B99" s="2"/>
      <c r="C99" s="2"/>
      <c r="D99" s="2"/>
      <c r="E99" s="2"/>
      <c r="F99" s="2"/>
      <c r="H99" s="2"/>
      <c r="I99" s="3"/>
    </row>
    <row r="100" spans="1:10">
      <c r="A100" s="2"/>
      <c r="B100" s="2"/>
      <c r="C100" s="2"/>
      <c r="D100" s="2"/>
      <c r="E100" s="2"/>
      <c r="F100" s="2"/>
      <c r="H100" s="2"/>
      <c r="I100" s="3"/>
      <c r="J100" s="4"/>
    </row>
    <row r="101" spans="1:10">
      <c r="A101" s="2"/>
      <c r="B101" s="2"/>
      <c r="C101" s="2"/>
      <c r="D101" s="2"/>
      <c r="E101" s="2"/>
      <c r="F101" s="2"/>
      <c r="H101" s="2"/>
      <c r="I101" s="6"/>
    </row>
    <row r="102" spans="1:10">
      <c r="A102" s="2"/>
      <c r="B102" s="2"/>
      <c r="C102" s="2"/>
      <c r="D102" s="2"/>
      <c r="E102" s="2"/>
      <c r="F102" s="2"/>
      <c r="H102" s="2"/>
      <c r="I102" s="3"/>
    </row>
    <row r="103" spans="1:10">
      <c r="A103" s="2"/>
      <c r="B103" s="2"/>
      <c r="C103" s="2"/>
      <c r="D103" s="2"/>
      <c r="E103" s="2"/>
      <c r="F103" s="2"/>
      <c r="G103" s="2"/>
      <c r="H103" s="2"/>
      <c r="I103" s="6"/>
    </row>
    <row r="104" spans="1:10">
      <c r="A104" s="2"/>
      <c r="B104" s="2"/>
      <c r="C104" s="2"/>
      <c r="D104" s="2"/>
      <c r="E104" s="2"/>
      <c r="F104" s="2"/>
      <c r="H104" s="2"/>
      <c r="I104" s="3"/>
      <c r="J104" s="4"/>
    </row>
    <row r="105" spans="1:10">
      <c r="A105" s="2"/>
      <c r="B105" s="2"/>
      <c r="C105" s="2"/>
      <c r="D105" s="2"/>
      <c r="E105" s="2"/>
      <c r="F105" s="2"/>
      <c r="G105" s="2"/>
      <c r="H105" s="2"/>
      <c r="I105" s="6"/>
    </row>
    <row r="106" spans="1:10">
      <c r="A106" s="2"/>
      <c r="B106" s="2"/>
      <c r="C106" s="2"/>
      <c r="D106" s="2"/>
      <c r="E106" s="2"/>
      <c r="F106" s="2"/>
      <c r="G106" s="2"/>
      <c r="H106" s="2"/>
      <c r="I106" s="6"/>
    </row>
    <row r="107" spans="1:10">
      <c r="A107" s="2"/>
      <c r="B107" s="2"/>
      <c r="C107" s="2"/>
      <c r="D107" s="2"/>
      <c r="E107" s="2"/>
      <c r="F107" s="2"/>
      <c r="G107" s="2"/>
      <c r="H107" s="2"/>
      <c r="I107" s="2"/>
      <c r="J107" s="4"/>
    </row>
    <row r="108" spans="1:10">
      <c r="A108" s="2"/>
      <c r="B108" s="2"/>
      <c r="C108" s="2"/>
      <c r="D108" s="2"/>
      <c r="E108" s="2"/>
      <c r="F108" s="2"/>
      <c r="H108" s="2"/>
      <c r="I108" s="3"/>
      <c r="J108" s="4"/>
    </row>
    <row r="109" spans="1:10">
      <c r="A109" s="2"/>
      <c r="B109" s="2"/>
      <c r="C109" s="2"/>
      <c r="D109" s="2"/>
      <c r="E109" s="2"/>
      <c r="F109" s="2"/>
      <c r="H109" s="2"/>
      <c r="I109" s="3"/>
      <c r="J109" s="4"/>
    </row>
    <row r="110" spans="1:10">
      <c r="A110" s="2"/>
      <c r="B110" s="2"/>
      <c r="C110" s="2"/>
      <c r="D110" s="2"/>
      <c r="E110" s="2"/>
      <c r="F110" s="2"/>
      <c r="H110" s="2"/>
      <c r="I110" s="3"/>
      <c r="J110" s="4"/>
    </row>
    <row r="111" spans="1:10" ht="15" customHeight="1">
      <c r="A111" s="2"/>
      <c r="B111" s="2"/>
      <c r="C111" s="2"/>
      <c r="D111" s="2"/>
      <c r="E111" s="2"/>
      <c r="F111" s="2"/>
      <c r="H111" s="2"/>
      <c r="I111" s="3"/>
      <c r="J111" s="4"/>
    </row>
    <row r="112" spans="1:10" ht="15.75" customHeight="1">
      <c r="A112" s="2"/>
      <c r="B112" s="2"/>
      <c r="C112" s="2"/>
      <c r="D112" s="2"/>
      <c r="E112" s="2"/>
      <c r="F112" s="2"/>
      <c r="H112" s="2"/>
      <c r="I112" s="2"/>
      <c r="J112" s="4"/>
    </row>
    <row r="113" spans="1:10" ht="15.75" customHeight="1">
      <c r="A113" s="2"/>
      <c r="B113" s="2"/>
      <c r="C113" s="2"/>
      <c r="D113" s="2"/>
      <c r="E113" s="2"/>
      <c r="F113" s="2"/>
      <c r="H113" s="2"/>
      <c r="I113" s="2"/>
      <c r="J113" s="4"/>
    </row>
    <row r="114" spans="1:10" ht="15.75" customHeight="1">
      <c r="A114" s="2"/>
      <c r="B114" s="2"/>
      <c r="C114" s="2"/>
      <c r="D114" s="2"/>
      <c r="E114" s="2"/>
      <c r="F114" s="2"/>
      <c r="H114" s="2"/>
      <c r="I114" s="2"/>
      <c r="J114" s="4"/>
    </row>
    <row r="115" spans="1:10" ht="15.75" customHeight="1">
      <c r="A115" s="2"/>
      <c r="B115" s="2"/>
      <c r="C115" s="2"/>
      <c r="D115" s="2"/>
      <c r="E115" s="2"/>
      <c r="F115" s="2"/>
      <c r="G115" s="2"/>
      <c r="H115" s="2"/>
      <c r="I115" s="6"/>
    </row>
    <row r="116" spans="1:10" ht="15.75" customHeight="1">
      <c r="A116" s="2"/>
      <c r="B116" s="2"/>
      <c r="C116" s="2"/>
      <c r="D116" s="2"/>
      <c r="E116" s="2"/>
      <c r="F116" s="2"/>
      <c r="G116" s="2"/>
      <c r="H116" s="2"/>
      <c r="I116" s="3"/>
      <c r="J116" s="4"/>
    </row>
    <row r="117" spans="1:10" ht="15.75" customHeight="1">
      <c r="A117" s="2"/>
      <c r="B117" s="2"/>
      <c r="C117" s="2"/>
      <c r="D117" s="2"/>
      <c r="E117" s="2"/>
      <c r="F117" s="2"/>
      <c r="G117" s="2"/>
      <c r="H117" s="2"/>
      <c r="I117" s="3"/>
      <c r="J117" s="4"/>
    </row>
    <row r="118" spans="1:10" ht="15.75" customHeight="1">
      <c r="A118" s="2"/>
      <c r="B118" s="2"/>
      <c r="C118" s="2"/>
      <c r="D118" s="2"/>
      <c r="E118" s="2"/>
      <c r="F118" s="2"/>
      <c r="H118" s="2"/>
      <c r="I118" s="3"/>
      <c r="J118" s="4"/>
    </row>
    <row r="119" spans="1:10" ht="15.75" customHeight="1">
      <c r="A119" s="2"/>
      <c r="B119" s="2"/>
      <c r="C119" s="2"/>
      <c r="D119" s="2"/>
      <c r="E119" s="2"/>
      <c r="F119" s="2"/>
      <c r="H119" s="2"/>
      <c r="I119" s="5"/>
    </row>
    <row r="120" spans="1:10">
      <c r="A120" s="2"/>
      <c r="B120" s="2"/>
      <c r="C120" s="2"/>
      <c r="D120" s="2"/>
      <c r="E120" s="2"/>
      <c r="F120" s="2"/>
      <c r="H120" s="2"/>
      <c r="I120" s="3"/>
      <c r="J120" s="4"/>
    </row>
    <row r="121" spans="1:10">
      <c r="A121" s="2"/>
      <c r="B121" s="2"/>
      <c r="C121" s="2"/>
      <c r="D121" s="2"/>
      <c r="E121" s="2"/>
      <c r="F121" s="2"/>
      <c r="H121" s="2"/>
      <c r="I121" s="3"/>
    </row>
    <row r="122" spans="1:10">
      <c r="A122" s="2"/>
      <c r="B122" s="2"/>
      <c r="C122" s="2"/>
      <c r="D122" s="2"/>
      <c r="E122" s="2"/>
      <c r="F122" s="2"/>
      <c r="H122" s="2"/>
      <c r="I122" s="13"/>
      <c r="J122" s="4"/>
    </row>
    <row r="123" spans="1:10">
      <c r="A123" s="2"/>
      <c r="B123" s="2"/>
      <c r="C123" s="2"/>
      <c r="D123" s="2"/>
      <c r="E123" s="2"/>
      <c r="F123" s="2"/>
      <c r="H123" s="2"/>
      <c r="I123" s="3"/>
      <c r="J123" s="4"/>
    </row>
    <row r="124" spans="1:10">
      <c r="A124" s="2"/>
      <c r="B124" s="2"/>
      <c r="C124" s="2"/>
      <c r="D124" s="2"/>
      <c r="E124" s="2"/>
      <c r="F124" s="2"/>
      <c r="H124" s="2"/>
      <c r="I124" s="3"/>
      <c r="J124" s="4"/>
    </row>
    <row r="125" spans="1:10">
      <c r="A125" s="2"/>
      <c r="B125" s="2"/>
      <c r="C125" s="2"/>
      <c r="D125" s="2"/>
      <c r="E125" s="2"/>
      <c r="F125" s="2"/>
      <c r="H125" s="2"/>
      <c r="I125" s="3"/>
    </row>
    <row r="126" spans="1:10">
      <c r="A126" s="2"/>
      <c r="B126" s="2"/>
      <c r="C126" s="2"/>
      <c r="D126" s="2"/>
      <c r="E126" s="2"/>
      <c r="F126" s="2"/>
      <c r="G126" s="2"/>
      <c r="H126" s="2"/>
      <c r="I126" s="3"/>
      <c r="J126" s="4"/>
    </row>
    <row r="127" spans="1:10">
      <c r="A127" s="2"/>
      <c r="B127" s="2"/>
      <c r="C127" s="2"/>
      <c r="D127" s="2"/>
      <c r="E127" s="2"/>
      <c r="F127" s="2"/>
      <c r="H127" s="2"/>
      <c r="I127" s="3"/>
      <c r="J127" s="4"/>
    </row>
    <row r="128" spans="1:10">
      <c r="A128" s="2"/>
      <c r="B128" s="2"/>
      <c r="C128" s="2"/>
      <c r="D128" s="2"/>
      <c r="E128" s="2"/>
      <c r="F128" s="2"/>
      <c r="G128" s="2"/>
      <c r="H128" s="2"/>
      <c r="I128" s="3"/>
      <c r="J128" s="4"/>
    </row>
    <row r="129" spans="1:10">
      <c r="A129" s="2"/>
      <c r="B129" s="2"/>
      <c r="C129" s="2"/>
      <c r="D129" s="2"/>
      <c r="E129" s="2"/>
      <c r="F129" s="2"/>
      <c r="G129" s="2"/>
      <c r="H129" s="2"/>
      <c r="I129" s="3"/>
      <c r="J129" s="4"/>
    </row>
    <row r="130" spans="1:10">
      <c r="A130" s="2"/>
      <c r="B130" s="2"/>
      <c r="C130" s="2"/>
      <c r="D130" s="2"/>
      <c r="E130" s="2"/>
      <c r="F130" s="2"/>
      <c r="G130" s="2"/>
      <c r="H130" s="2"/>
      <c r="I130" s="3"/>
      <c r="J130" s="4"/>
    </row>
    <row r="131" spans="1:10">
      <c r="A131" s="2"/>
      <c r="B131" s="2"/>
      <c r="C131" s="2"/>
      <c r="D131" s="2"/>
      <c r="E131" s="2"/>
      <c r="F131" s="2"/>
      <c r="G131" s="2"/>
      <c r="H131" s="2"/>
      <c r="I131" s="2"/>
    </row>
    <row r="132" spans="1:10">
      <c r="A132" s="2"/>
      <c r="B132" s="2"/>
      <c r="C132" s="2"/>
      <c r="D132" s="2"/>
      <c r="E132" s="2"/>
      <c r="F132" s="2"/>
      <c r="G132" s="2"/>
      <c r="H132" s="2"/>
      <c r="I132" s="3"/>
      <c r="J132" s="4"/>
    </row>
    <row r="133" spans="1:10">
      <c r="A133" s="2"/>
      <c r="B133" s="2"/>
      <c r="C133" s="2"/>
      <c r="D133" s="2"/>
      <c r="E133" s="2"/>
      <c r="F133" s="2"/>
      <c r="G133" s="2"/>
      <c r="H133" s="2"/>
      <c r="I133" s="3"/>
      <c r="J133" s="4"/>
    </row>
    <row r="134" spans="1:10">
      <c r="A134" s="2"/>
      <c r="B134" s="2"/>
      <c r="C134" s="2"/>
      <c r="D134" s="2"/>
      <c r="E134" s="2"/>
      <c r="F134" s="2"/>
      <c r="G134" s="2"/>
      <c r="H134" s="2"/>
      <c r="I134" s="2"/>
    </row>
    <row r="135" spans="1:10">
      <c r="A135" s="2"/>
      <c r="B135" s="2"/>
      <c r="C135" s="2"/>
      <c r="D135" s="2"/>
      <c r="E135" s="2"/>
      <c r="F135" s="2"/>
      <c r="G135" s="2"/>
      <c r="H135" s="2"/>
      <c r="I135" s="3"/>
      <c r="J135" s="4"/>
    </row>
    <row r="136" spans="1:10">
      <c r="A136" s="2"/>
      <c r="B136" s="2"/>
      <c r="C136" s="2"/>
      <c r="D136" s="2"/>
      <c r="E136" s="2"/>
      <c r="F136" s="2"/>
      <c r="G136" s="2"/>
      <c r="H136" s="2"/>
      <c r="I136" s="3"/>
      <c r="J136" s="4"/>
    </row>
    <row r="137" spans="1:10">
      <c r="A137" s="2"/>
      <c r="B137" s="2"/>
      <c r="C137" s="2"/>
      <c r="D137" s="2"/>
      <c r="E137" s="2"/>
      <c r="F137" s="2"/>
      <c r="G137" s="2"/>
      <c r="H137" s="2"/>
      <c r="I137" s="2"/>
    </row>
    <row r="138" spans="1:10">
      <c r="A138" s="2"/>
      <c r="B138" s="2"/>
      <c r="C138" s="2"/>
      <c r="D138" s="2"/>
      <c r="E138" s="2"/>
      <c r="F138" s="2"/>
      <c r="G138" s="2"/>
      <c r="H138" s="2"/>
      <c r="I138" s="3"/>
      <c r="J138" s="4"/>
    </row>
    <row r="139" spans="1:10">
      <c r="A139" s="2"/>
      <c r="B139" s="2"/>
      <c r="C139" s="2"/>
      <c r="D139" s="2"/>
      <c r="E139" s="2"/>
      <c r="F139" s="2"/>
      <c r="G139" s="2"/>
      <c r="H139" s="2"/>
      <c r="I139" s="3"/>
      <c r="J139" s="4"/>
    </row>
    <row r="140" spans="1:10">
      <c r="A140" s="2"/>
      <c r="B140" s="2"/>
      <c r="C140" s="2"/>
      <c r="D140" s="2"/>
      <c r="E140" s="2"/>
      <c r="F140" s="2"/>
      <c r="G140" s="2"/>
      <c r="H140" s="2"/>
      <c r="I140" s="3"/>
      <c r="J140" s="4"/>
    </row>
    <row r="141" spans="1:10">
      <c r="A141" s="2"/>
      <c r="B141" s="2"/>
      <c r="C141" s="2"/>
      <c r="D141" s="2"/>
      <c r="E141" s="2"/>
      <c r="F141" s="2"/>
      <c r="G141" s="2"/>
      <c r="H141" s="2"/>
      <c r="I141" s="3"/>
      <c r="J141" s="4"/>
    </row>
    <row r="142" spans="1:10">
      <c r="A142" s="2"/>
      <c r="B142" s="2"/>
      <c r="C142" s="2"/>
      <c r="D142" s="2"/>
      <c r="E142" s="2"/>
      <c r="F142" s="2"/>
      <c r="G142" s="2"/>
      <c r="H142" s="2"/>
      <c r="I142" s="3"/>
      <c r="J142" s="4"/>
    </row>
    <row r="143" spans="1:10">
      <c r="A143" s="2"/>
      <c r="B143" s="2"/>
      <c r="C143" s="2"/>
      <c r="D143" s="2"/>
      <c r="E143" s="2"/>
      <c r="F143" s="2"/>
      <c r="H143" s="2"/>
      <c r="I143" s="3"/>
      <c r="J143" s="4"/>
    </row>
    <row r="144" spans="1:10">
      <c r="A144" s="2"/>
      <c r="B144" s="2"/>
      <c r="C144" s="2"/>
      <c r="D144" s="2"/>
      <c r="E144" s="2"/>
      <c r="F144" s="2"/>
      <c r="H144" s="2"/>
      <c r="I144" s="5"/>
    </row>
    <row r="145" spans="1:10">
      <c r="A145" s="2"/>
      <c r="B145" s="2"/>
      <c r="C145" s="2"/>
      <c r="D145" s="2"/>
      <c r="E145" s="2"/>
      <c r="F145" s="2"/>
      <c r="H145" s="2"/>
      <c r="I145" s="5"/>
    </row>
    <row r="146" spans="1:10">
      <c r="A146" s="2"/>
      <c r="B146" s="2"/>
      <c r="C146" s="2"/>
      <c r="D146" s="2"/>
      <c r="E146" s="2"/>
      <c r="F146" s="2"/>
      <c r="H146" s="2"/>
      <c r="I146" s="5"/>
    </row>
    <row r="147" spans="1:10">
      <c r="A147" s="2"/>
      <c r="B147" s="2"/>
      <c r="C147" s="2"/>
      <c r="D147" s="2"/>
      <c r="E147" s="2"/>
      <c r="F147" s="2"/>
      <c r="H147" s="2"/>
      <c r="I147" s="3"/>
      <c r="J147" s="4"/>
    </row>
    <row r="148" spans="1:10">
      <c r="A148" s="2"/>
      <c r="B148" s="2"/>
      <c r="C148" s="2"/>
      <c r="D148" s="2"/>
      <c r="E148" s="2"/>
      <c r="F148" s="2"/>
      <c r="H148" s="2"/>
      <c r="I148" s="3"/>
      <c r="J148" s="4"/>
    </row>
    <row r="149" spans="1:10">
      <c r="A149" s="2"/>
      <c r="B149" s="2"/>
      <c r="C149" s="2"/>
      <c r="D149" s="2"/>
      <c r="E149" s="2"/>
      <c r="F149" s="2"/>
      <c r="H149" s="2"/>
      <c r="I149" s="3"/>
    </row>
    <row r="150" spans="1:10">
      <c r="A150" s="2"/>
      <c r="B150" s="2"/>
      <c r="C150" s="2"/>
      <c r="D150" s="2"/>
      <c r="E150" s="2"/>
      <c r="F150" s="2"/>
      <c r="H150" s="2"/>
      <c r="I150" s="3"/>
      <c r="J150" s="4"/>
    </row>
    <row r="151" spans="1:10">
      <c r="A151" s="2"/>
      <c r="B151" s="2"/>
      <c r="C151" s="2"/>
      <c r="D151" s="2"/>
      <c r="E151" s="2"/>
      <c r="F151" s="2"/>
      <c r="H151" s="2"/>
      <c r="I151" s="3"/>
      <c r="J151" s="4"/>
    </row>
    <row r="152" spans="1:10">
      <c r="A152" s="2"/>
      <c r="B152" s="2"/>
      <c r="C152" s="2"/>
      <c r="D152" s="2"/>
      <c r="E152" s="2"/>
      <c r="F152" s="2"/>
      <c r="H152" s="2"/>
      <c r="I152" s="3"/>
      <c r="J152" s="4"/>
    </row>
    <row r="153" spans="1:10">
      <c r="A153" s="2"/>
      <c r="B153" s="2"/>
      <c r="C153" s="2"/>
      <c r="D153" s="2"/>
      <c r="E153" s="2"/>
      <c r="F153" s="2"/>
      <c r="H153" s="2"/>
      <c r="I153" s="3"/>
      <c r="J153" s="4"/>
    </row>
    <row r="154" spans="1:10">
      <c r="A154" s="2"/>
      <c r="B154" s="2"/>
      <c r="C154" s="2"/>
      <c r="D154" s="2"/>
      <c r="E154" s="2"/>
      <c r="F154" s="2"/>
      <c r="H154" s="2"/>
      <c r="I154" s="3"/>
    </row>
    <row r="155" spans="1:10">
      <c r="A155" s="2"/>
      <c r="B155" s="2"/>
      <c r="C155" s="2"/>
      <c r="D155" s="2"/>
      <c r="E155" s="2"/>
      <c r="F155" s="2"/>
      <c r="G155" s="2"/>
      <c r="H155" s="2"/>
      <c r="I155" s="3"/>
      <c r="J155" s="4"/>
    </row>
    <row r="156" spans="1:10">
      <c r="A156" s="2"/>
      <c r="B156" s="2"/>
      <c r="C156" s="2"/>
      <c r="D156" s="2"/>
      <c r="E156" s="2"/>
      <c r="F156" s="2"/>
      <c r="H156" s="2"/>
      <c r="I156" s="3"/>
      <c r="J156" s="4"/>
    </row>
    <row r="157" spans="1:10">
      <c r="A157" s="2"/>
      <c r="B157" s="2"/>
      <c r="C157" s="2"/>
      <c r="D157" s="2"/>
      <c r="E157" s="2"/>
      <c r="F157" s="2"/>
      <c r="G157" s="2"/>
      <c r="H157" s="2"/>
      <c r="I157" s="3"/>
      <c r="J157" s="4"/>
    </row>
    <row r="158" spans="1:10">
      <c r="A158" s="2"/>
      <c r="B158" s="2"/>
      <c r="C158" s="2"/>
      <c r="D158" s="2"/>
      <c r="E158" s="2"/>
      <c r="F158" s="2"/>
      <c r="G158" s="2"/>
      <c r="H158" s="2"/>
      <c r="I158" s="3"/>
      <c r="J158" s="4"/>
    </row>
    <row r="159" spans="1:10">
      <c r="A159" s="2"/>
      <c r="B159" s="2"/>
      <c r="C159" s="2"/>
      <c r="D159" s="2"/>
      <c r="E159" s="2"/>
      <c r="F159" s="2"/>
      <c r="G159" s="2"/>
      <c r="H159" s="2"/>
      <c r="I159" s="3"/>
      <c r="J159" s="4"/>
    </row>
    <row r="160" spans="1:10">
      <c r="A160" s="2"/>
      <c r="B160" s="2"/>
      <c r="C160" s="2"/>
      <c r="D160" s="2"/>
      <c r="E160" s="2"/>
      <c r="F160" s="2"/>
      <c r="G160" s="2"/>
      <c r="H160" s="2"/>
      <c r="I160" s="3"/>
      <c r="J160" s="4"/>
    </row>
    <row r="161" spans="1:10">
      <c r="A161" s="2"/>
      <c r="B161" s="2"/>
      <c r="C161" s="2"/>
      <c r="D161" s="2"/>
      <c r="E161" s="2"/>
      <c r="F161" s="2"/>
      <c r="H161" s="2"/>
      <c r="I161" s="3"/>
      <c r="J161" s="4"/>
    </row>
    <row r="162" spans="1:10">
      <c r="A162" s="2"/>
      <c r="B162" s="2"/>
      <c r="C162" s="2"/>
      <c r="D162" s="2"/>
      <c r="E162" s="2"/>
      <c r="F162" s="2"/>
      <c r="H162" s="2"/>
      <c r="I162" s="3"/>
      <c r="J162" s="4"/>
    </row>
    <row r="163" spans="1:10">
      <c r="A163" s="2"/>
      <c r="B163" s="2"/>
      <c r="C163" s="2"/>
      <c r="D163" s="2"/>
      <c r="E163" s="2"/>
      <c r="F163" s="2"/>
      <c r="H163" s="2"/>
      <c r="I163" s="3"/>
      <c r="J163" s="4"/>
    </row>
    <row r="164" spans="1:10">
      <c r="C164" s="2"/>
      <c r="I164"/>
    </row>
    <row r="165" spans="1:10">
      <c r="C165" s="2"/>
      <c r="I165"/>
    </row>
    <row r="166" spans="1:10">
      <c r="B166" s="2"/>
      <c r="C166" s="2"/>
      <c r="D166" s="2"/>
      <c r="E166" s="2"/>
      <c r="F166" s="2"/>
      <c r="H166" s="2"/>
      <c r="I166" s="5"/>
    </row>
    <row r="167" spans="1:10">
      <c r="C167" s="2"/>
      <c r="H167" s="2"/>
      <c r="I167"/>
    </row>
    <row r="168" spans="1:10">
      <c r="C168" s="2"/>
      <c r="H168" s="2"/>
      <c r="I168"/>
    </row>
    <row r="169" spans="1:10">
      <c r="C169" s="2"/>
      <c r="I169"/>
    </row>
    <row r="170" spans="1:10">
      <c r="C170" s="2"/>
      <c r="D170" s="2"/>
      <c r="E170" s="2"/>
      <c r="I170" s="13"/>
    </row>
    <row r="171" spans="1:10">
      <c r="C171" s="2"/>
      <c r="I171" s="13"/>
    </row>
    <row r="172" spans="1:10">
      <c r="C172" s="2"/>
      <c r="I172" s="13"/>
    </row>
    <row r="173" spans="1:10">
      <c r="C173" s="2"/>
      <c r="I173" s="13"/>
    </row>
    <row r="174" spans="1:10">
      <c r="A174" s="2"/>
      <c r="B174" s="2"/>
      <c r="C174" s="36"/>
      <c r="D174" s="2"/>
      <c r="E174" s="2"/>
      <c r="F174" s="2"/>
      <c r="G174" s="37"/>
      <c r="H174" s="37"/>
      <c r="I174" s="3"/>
      <c r="J174" s="4"/>
    </row>
    <row r="175" spans="1:10">
      <c r="A175" s="2"/>
      <c r="B175" s="2"/>
      <c r="C175" s="36"/>
      <c r="D175" s="2"/>
      <c r="E175" s="2"/>
      <c r="F175" s="2"/>
      <c r="G175" s="2"/>
      <c r="H175" s="2"/>
      <c r="I175" s="3"/>
      <c r="J175" s="4"/>
    </row>
    <row r="176" spans="1:10">
      <c r="A176" s="2"/>
      <c r="B176" s="37"/>
      <c r="C176" s="36"/>
      <c r="D176" s="2"/>
      <c r="E176" s="2"/>
      <c r="F176" s="37"/>
      <c r="G176" s="37"/>
      <c r="H176" s="37"/>
      <c r="I176" s="3"/>
      <c r="J176" s="4"/>
    </row>
    <row r="177" spans="1:10">
      <c r="A177" s="2"/>
      <c r="B177" s="36"/>
      <c r="C177" s="36"/>
      <c r="D177" s="2"/>
      <c r="E177" s="2"/>
      <c r="F177" s="36"/>
      <c r="G177" s="36"/>
      <c r="H177" s="36"/>
      <c r="I177" s="3"/>
      <c r="J177" s="4"/>
    </row>
    <row r="178" spans="1:10">
      <c r="A178" s="46"/>
      <c r="B178" s="37"/>
      <c r="C178" s="37"/>
      <c r="D178" s="2"/>
      <c r="E178" s="37"/>
      <c r="F178" s="37"/>
      <c r="G178" s="37"/>
      <c r="H178" s="37"/>
      <c r="I178" s="3"/>
      <c r="J178" s="7"/>
    </row>
    <row r="179" spans="1:10">
      <c r="A179" s="47"/>
      <c r="B179" s="36"/>
      <c r="C179" s="36"/>
      <c r="D179" s="2"/>
      <c r="E179" s="36"/>
      <c r="F179" s="36"/>
      <c r="G179" s="36"/>
      <c r="H179" s="36"/>
      <c r="I179" s="17"/>
      <c r="J179" s="4"/>
    </row>
    <row r="180" spans="1:10">
      <c r="A180" s="48"/>
      <c r="B180" s="49"/>
      <c r="C180" s="49"/>
      <c r="D180" s="2"/>
      <c r="E180" s="49"/>
      <c r="F180" s="49"/>
      <c r="G180" s="49"/>
      <c r="H180" s="49"/>
      <c r="I180" s="50"/>
      <c r="J180" s="4"/>
    </row>
    <row r="181" spans="1:10">
      <c r="A181" s="47"/>
      <c r="B181" s="36"/>
      <c r="C181" s="36"/>
      <c r="D181" s="2"/>
      <c r="E181" s="36"/>
      <c r="F181" s="36"/>
      <c r="G181" s="36"/>
      <c r="H181" s="36"/>
      <c r="I181" s="17"/>
      <c r="J181" s="4"/>
    </row>
    <row r="182" spans="1:10">
      <c r="A182" s="46"/>
      <c r="B182" s="37"/>
      <c r="C182" s="37"/>
      <c r="D182" s="2"/>
      <c r="E182" s="37"/>
      <c r="F182" s="37"/>
      <c r="G182" s="37"/>
      <c r="H182" s="37"/>
      <c r="I182" s="45"/>
      <c r="J182" s="4"/>
    </row>
    <row r="183" spans="1:10">
      <c r="A183" s="47"/>
      <c r="B183" s="36"/>
      <c r="C183" s="36"/>
      <c r="D183" s="2"/>
      <c r="E183" s="36"/>
      <c r="F183" s="36"/>
      <c r="G183" s="36"/>
      <c r="H183" s="36"/>
      <c r="I183" s="17"/>
      <c r="J183" s="4"/>
    </row>
    <row r="184" spans="1:10">
      <c r="A184" s="46"/>
      <c r="B184" s="37"/>
      <c r="C184" s="37"/>
      <c r="D184" s="2"/>
      <c r="E184" s="37"/>
      <c r="F184" s="37"/>
      <c r="G184" s="37"/>
      <c r="H184" s="37"/>
      <c r="I184" s="45"/>
      <c r="J184" s="4"/>
    </row>
    <row r="185" spans="1:10">
      <c r="A185" s="51"/>
      <c r="B185" s="52"/>
      <c r="C185" s="52"/>
      <c r="D185" s="2"/>
      <c r="E185" s="52"/>
      <c r="F185" s="52"/>
      <c r="G185" s="52"/>
      <c r="H185" s="52"/>
      <c r="I185" s="53"/>
      <c r="J185" s="4"/>
    </row>
  </sheetData>
  <phoneticPr fontId="5" type="noConversion"/>
  <hyperlinks>
    <hyperlink ref="J31" r:id="rId1" xr:uid="{A8D409FE-FAC6-4549-9A9D-87553868F5CF}"/>
    <hyperlink ref="J32" r:id="rId2" xr:uid="{4FE058D4-E801-4C84-8EF3-B9F3B3A40C6B}"/>
    <hyperlink ref="J33" r:id="rId3" xr:uid="{E87BECDD-380B-4B6D-A9C0-D4D5E215F1F6}"/>
  </hyperlinks>
  <pageMargins left="0.7" right="0.7" top="0.75" bottom="0.75" header="0.3" footer="0.3"/>
  <pageSetup orientation="portrait" horizontalDpi="1200" verticalDpi="1200" r:id="rId4"/>
  <legacyDrawing r:id="rId5"/>
  <tableParts count="1"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F9E28-0A91-4A86-B9A0-18147077AE90}">
  <dimension ref="B2:E6"/>
  <sheetViews>
    <sheetView workbookViewId="0"/>
  </sheetViews>
  <sheetFormatPr defaultRowHeight="15"/>
  <cols>
    <col min="3" max="5" width="9.28515625" bestFit="1" customWidth="1"/>
  </cols>
  <sheetData>
    <row r="2" spans="2:5">
      <c r="C2" t="s">
        <v>204</v>
      </c>
      <c r="D2" t="s">
        <v>219</v>
      </c>
      <c r="E2" t="s">
        <v>220</v>
      </c>
    </row>
    <row r="3" spans="2:5">
      <c r="B3" t="s">
        <v>221</v>
      </c>
      <c r="C3" s="56">
        <f>SUM(Graphite_format!F277:F278)</f>
        <v>1.7754857791397621E-3</v>
      </c>
      <c r="D3" s="56">
        <f>1/C3</f>
        <v>563.22613886803902</v>
      </c>
      <c r="E3" s="56">
        <f>D3/1000</f>
        <v>0.56322613886803896</v>
      </c>
    </row>
    <row r="4" spans="2:5">
      <c r="B4" t="s">
        <v>222</v>
      </c>
      <c r="C4" s="56">
        <f>SUM(Graphite_format!F287:F288)</f>
        <v>2.059647014419839E-3</v>
      </c>
      <c r="D4" s="56">
        <f t="shared" ref="D4:D6" si="0">1/C4</f>
        <v>485.52008815048333</v>
      </c>
      <c r="E4" s="56">
        <f t="shared" ref="E4:E6" si="1">D4/1000</f>
        <v>0.48552008815048331</v>
      </c>
    </row>
    <row r="5" spans="2:5">
      <c r="B5" t="s">
        <v>223</v>
      </c>
      <c r="C5" s="56">
        <f>SUM(Graphite_format!F297:F298)</f>
        <v>2.2965453694828611E-3</v>
      </c>
      <c r="D5" s="56">
        <f t="shared" si="0"/>
        <v>435.43664030690638</v>
      </c>
      <c r="E5" s="56">
        <f t="shared" si="1"/>
        <v>0.43543664030690638</v>
      </c>
    </row>
    <row r="6" spans="2:5">
      <c r="B6" t="s">
        <v>224</v>
      </c>
      <c r="C6" s="56">
        <f>SUM(Graphite_format!F307:F308)</f>
        <v>1.98815826213678E-3</v>
      </c>
      <c r="D6" s="56">
        <f t="shared" si="0"/>
        <v>502.97806721143343</v>
      </c>
      <c r="E6" s="56">
        <f t="shared" si="1"/>
        <v>0.50297806721143345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8AC6D-6C71-4B3E-8ABE-C9DFBD409611}">
  <dimension ref="A1:L48"/>
  <sheetViews>
    <sheetView workbookViewId="0">
      <selection activeCell="K12" sqref="K12"/>
    </sheetView>
  </sheetViews>
  <sheetFormatPr defaultRowHeight="15"/>
  <cols>
    <col min="10" max="10" width="22.140625" bestFit="1" customWidth="1"/>
    <col min="11" max="11" width="23.85546875" bestFit="1" customWidth="1"/>
  </cols>
  <sheetData>
    <row r="1" spans="1:12">
      <c r="A1" s="72">
        <v>2020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4"/>
    </row>
    <row r="2" spans="1:12">
      <c r="A2" s="75"/>
      <c r="B2" t="s">
        <v>540</v>
      </c>
      <c r="D2" t="s">
        <v>539</v>
      </c>
      <c r="E2" t="s">
        <v>538</v>
      </c>
      <c r="F2" t="s">
        <v>268</v>
      </c>
      <c r="H2" t="s">
        <v>541</v>
      </c>
      <c r="J2" t="s">
        <v>71</v>
      </c>
      <c r="K2" t="s">
        <v>72</v>
      </c>
      <c r="L2" s="76" t="s">
        <v>268</v>
      </c>
    </row>
    <row r="3" spans="1:12">
      <c r="A3" s="75"/>
      <c r="C3" t="s">
        <v>446</v>
      </c>
      <c r="D3">
        <f>E3*Graphite_format!F64</f>
        <v>2.6413600000000002</v>
      </c>
      <c r="E3">
        <f>F3*Graphite_format!F70</f>
        <v>0.1096</v>
      </c>
      <c r="F3">
        <f>(5900+21500)/1000000</f>
        <v>2.7400000000000001E-2</v>
      </c>
      <c r="I3" t="s">
        <v>290</v>
      </c>
      <c r="J3">
        <f>K3*Graphite_format!F101</f>
        <v>9.6059249999999985E-2</v>
      </c>
      <c r="K3">
        <f>L3*Graphite_format!F106</f>
        <v>2.1346499999999997E-2</v>
      </c>
      <c r="L3" s="76">
        <f>(13300*0.25)/1000000</f>
        <v>3.3249999999999998E-3</v>
      </c>
    </row>
    <row r="4" spans="1:12">
      <c r="A4" s="75"/>
      <c r="C4" t="s">
        <v>290</v>
      </c>
      <c r="D4">
        <f>E4*Graphite_format!F64</f>
        <v>0.96159000000000006</v>
      </c>
      <c r="E4">
        <f>F4*Graphite_format!F70</f>
        <v>3.9899999999999998E-2</v>
      </c>
      <c r="F4">
        <f>(13300*0.75)/1000000</f>
        <v>9.9749999999999995E-3</v>
      </c>
      <c r="I4" t="s">
        <v>440</v>
      </c>
      <c r="J4">
        <f>K4*Graphite_format!F101</f>
        <v>1.146933</v>
      </c>
      <c r="K4">
        <f>L4*Graphite_format!F106</f>
        <v>0.25487399999999999</v>
      </c>
      <c r="L4" s="76">
        <f>39700/1000000</f>
        <v>3.9699999999999999E-2</v>
      </c>
    </row>
    <row r="5" spans="1:12">
      <c r="A5" s="75"/>
      <c r="L5" s="76"/>
    </row>
    <row r="6" spans="1:12">
      <c r="A6" s="75"/>
      <c r="L6" s="76"/>
    </row>
    <row r="7" spans="1:12">
      <c r="A7" s="75"/>
      <c r="L7" s="76"/>
    </row>
    <row r="8" spans="1:12">
      <c r="A8" s="75"/>
      <c r="L8" s="76"/>
    </row>
    <row r="9" spans="1:12">
      <c r="A9" s="75">
        <v>2015</v>
      </c>
      <c r="L9" s="76"/>
    </row>
    <row r="10" spans="1:12">
      <c r="A10" s="75" t="s">
        <v>542</v>
      </c>
      <c r="B10" t="s">
        <v>540</v>
      </c>
      <c r="D10" t="s">
        <v>539</v>
      </c>
      <c r="E10" t="s">
        <v>538</v>
      </c>
      <c r="F10" t="s">
        <v>268</v>
      </c>
      <c r="H10" t="s">
        <v>541</v>
      </c>
      <c r="J10" t="s">
        <v>71</v>
      </c>
      <c r="K10" t="s">
        <v>72</v>
      </c>
      <c r="L10" s="76" t="s">
        <v>268</v>
      </c>
    </row>
    <row r="11" spans="1:12">
      <c r="A11" s="75"/>
      <c r="C11" t="s">
        <v>446</v>
      </c>
      <c r="D11">
        <f>E11*Graphite_format!F64</f>
        <v>1.35924</v>
      </c>
      <c r="E11">
        <f>F11*Graphite_format!F70</f>
        <v>5.6399999999999999E-2</v>
      </c>
      <c r="F11">
        <f>(3600+10500)/1000000</f>
        <v>1.41E-2</v>
      </c>
      <c r="I11" t="s">
        <v>290</v>
      </c>
      <c r="J11">
        <f>K11*Graphite_format!F101</f>
        <v>1.4445000000000001E-2</v>
      </c>
      <c r="K11">
        <f>L11*Graphite_format!F106</f>
        <v>3.2100000000000002E-3</v>
      </c>
      <c r="L11" s="76">
        <f>(2000*0.25)/1000000</f>
        <v>5.0000000000000001E-4</v>
      </c>
    </row>
    <row r="12" spans="1:12">
      <c r="A12" s="75"/>
      <c r="C12" t="s">
        <v>290</v>
      </c>
      <c r="D12">
        <f>E12*Graphite_format!F64</f>
        <v>0.14460000000000001</v>
      </c>
      <c r="E12">
        <f>F12*Graphite_format!F70</f>
        <v>6.0000000000000001E-3</v>
      </c>
      <c r="F12">
        <f>(2000*0.75)/1000000</f>
        <v>1.5E-3</v>
      </c>
      <c r="I12" t="s">
        <v>440</v>
      </c>
      <c r="J12">
        <f>K12*Graphite_format!F101</f>
        <v>0.40734899999999996</v>
      </c>
      <c r="K12">
        <f>L12*Graphite_format!F106</f>
        <v>9.0521999999999991E-2</v>
      </c>
      <c r="L12" s="76">
        <f>14100/1000000</f>
        <v>1.41E-2</v>
      </c>
    </row>
    <row r="13" spans="1:12">
      <c r="A13" s="75"/>
      <c r="L13" s="76"/>
    </row>
    <row r="14" spans="1:12">
      <c r="A14" s="75"/>
      <c r="L14" s="76"/>
    </row>
    <row r="15" spans="1:12" ht="15.75" thickBot="1">
      <c r="A15" s="77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9"/>
    </row>
    <row r="16" spans="1:12">
      <c r="A16" s="72">
        <v>2020</v>
      </c>
      <c r="B16" s="73"/>
      <c r="C16" s="73" t="s">
        <v>543</v>
      </c>
      <c r="D16" s="73"/>
      <c r="E16" s="73"/>
      <c r="F16" s="73"/>
      <c r="G16" s="73"/>
      <c r="H16" s="73" t="s">
        <v>544</v>
      </c>
      <c r="I16" s="73"/>
      <c r="J16" s="73"/>
      <c r="K16" s="73"/>
      <c r="L16" s="74"/>
    </row>
    <row r="17" spans="1:12">
      <c r="A17" s="75"/>
      <c r="D17" t="s">
        <v>73</v>
      </c>
      <c r="E17" t="s">
        <v>269</v>
      </c>
      <c r="J17" t="s">
        <v>79</v>
      </c>
      <c r="K17" t="s">
        <v>80</v>
      </c>
      <c r="L17" s="76" t="s">
        <v>269</v>
      </c>
    </row>
    <row r="18" spans="1:12">
      <c r="A18" s="75"/>
      <c r="C18" t="s">
        <v>450</v>
      </c>
      <c r="D18">
        <f>E18*Graphite_format!F122</f>
        <v>2.9890000000000003</v>
      </c>
      <c r="E18">
        <f>(1100+2940+4500)/1000000</f>
        <v>8.5400000000000007E-3</v>
      </c>
      <c r="I18" t="s">
        <v>441</v>
      </c>
      <c r="J18">
        <f>K18*Graphite_format!F134</f>
        <v>34.332379199999998</v>
      </c>
      <c r="K18">
        <f>L18*Graphite_format!F138</f>
        <v>3.4574400000000001</v>
      </c>
      <c r="L18" s="76">
        <f>98000/1000000</f>
        <v>9.8000000000000004E-2</v>
      </c>
    </row>
    <row r="19" spans="1:12">
      <c r="A19" s="75"/>
      <c r="C19" t="s">
        <v>440</v>
      </c>
      <c r="D19">
        <f>E19*Graphite_format!F122</f>
        <v>1.9704999999999999</v>
      </c>
      <c r="E19">
        <f>5630/1000000</f>
        <v>5.6299999999999996E-3</v>
      </c>
      <c r="L19" s="76"/>
    </row>
    <row r="20" spans="1:12">
      <c r="A20" s="75"/>
      <c r="C20" t="s">
        <v>535</v>
      </c>
      <c r="D20">
        <f>E20*Graphite_format!F122</f>
        <v>3.15</v>
      </c>
      <c r="E20">
        <f>9000/1000000</f>
        <v>8.9999999999999993E-3</v>
      </c>
      <c r="L20" s="76"/>
    </row>
    <row r="21" spans="1:12">
      <c r="A21" s="75"/>
      <c r="L21" s="76"/>
    </row>
    <row r="22" spans="1:12">
      <c r="A22" s="75"/>
      <c r="L22" s="76"/>
    </row>
    <row r="23" spans="1:12">
      <c r="A23" s="75"/>
      <c r="L23" s="76"/>
    </row>
    <row r="24" spans="1:12">
      <c r="A24" s="75">
        <v>2015</v>
      </c>
      <c r="C24" t="s">
        <v>543</v>
      </c>
      <c r="H24" t="s">
        <v>544</v>
      </c>
      <c r="L24" s="76"/>
    </row>
    <row r="25" spans="1:12">
      <c r="A25" s="75"/>
      <c r="D25" t="s">
        <v>73</v>
      </c>
      <c r="E25" t="s">
        <v>269</v>
      </c>
      <c r="J25" t="s">
        <v>79</v>
      </c>
      <c r="K25" t="s">
        <v>80</v>
      </c>
      <c r="L25" s="76" t="s">
        <v>269</v>
      </c>
    </row>
    <row r="26" spans="1:12">
      <c r="A26" s="75"/>
      <c r="C26" t="s">
        <v>450</v>
      </c>
      <c r="D26">
        <f>E26*Graphite_format!F122</f>
        <v>2.7929999999999997</v>
      </c>
      <c r="E26">
        <f>(3680+4300)/1000000</f>
        <v>7.9799999999999992E-3</v>
      </c>
      <c r="I26" t="s">
        <v>441</v>
      </c>
      <c r="J26">
        <f>K26*Graphite_format!F134</f>
        <v>22.070815200000002</v>
      </c>
      <c r="K26">
        <f>L26*Graphite_format!F138</f>
        <v>2.2226400000000002</v>
      </c>
      <c r="L26" s="76">
        <f>63000/1000000</f>
        <v>6.3E-2</v>
      </c>
    </row>
    <row r="27" spans="1:12">
      <c r="A27" s="75"/>
      <c r="C27" t="s">
        <v>440</v>
      </c>
      <c r="D27">
        <f>E27*Graphite_format!F122</f>
        <v>2.1</v>
      </c>
      <c r="E27">
        <f>6000/1000000</f>
        <v>6.0000000000000001E-3</v>
      </c>
      <c r="L27" s="76"/>
    </row>
    <row r="28" spans="1:12" ht="15.75" thickBot="1">
      <c r="A28" s="75"/>
      <c r="C28" t="s">
        <v>535</v>
      </c>
      <c r="D28">
        <f>E28*Graphite_format!F122</f>
        <v>2.17</v>
      </c>
      <c r="E28">
        <f>6200/1000000</f>
        <v>6.1999999999999998E-3</v>
      </c>
      <c r="L28" s="76"/>
    </row>
    <row r="29" spans="1:12">
      <c r="A29" s="72">
        <v>2020</v>
      </c>
      <c r="B29" s="73"/>
      <c r="C29" s="73" t="s">
        <v>271</v>
      </c>
      <c r="D29" s="73"/>
      <c r="E29" s="73"/>
      <c r="F29" s="73"/>
      <c r="G29" s="73"/>
      <c r="H29" s="73"/>
      <c r="I29" s="73"/>
      <c r="J29" s="73"/>
      <c r="K29" s="73"/>
      <c r="L29" s="74"/>
    </row>
    <row r="30" spans="1:12">
      <c r="A30" s="75"/>
      <c r="D30" t="str">
        <f>Capacities!A3</f>
        <v>mining_flotation_graphite</v>
      </c>
      <c r="E30" t="s">
        <v>43</v>
      </c>
      <c r="F30" t="s">
        <v>545</v>
      </c>
      <c r="L30" s="76"/>
    </row>
    <row r="31" spans="1:12">
      <c r="A31" s="75"/>
      <c r="C31" t="s">
        <v>446</v>
      </c>
      <c r="D31">
        <f>E31*Graphite_format!$F$2</f>
        <v>1.5431077199999998</v>
      </c>
      <c r="E31">
        <f>F31*Graphite_format!$F$15</f>
        <v>0.160908</v>
      </c>
      <c r="F31">
        <f>63600/1000000</f>
        <v>6.3600000000000004E-2</v>
      </c>
      <c r="L31" s="76"/>
    </row>
    <row r="32" spans="1:12">
      <c r="A32" s="75"/>
      <c r="C32" t="s">
        <v>290</v>
      </c>
      <c r="D32">
        <f>E32*Graphite_format!$F$2</f>
        <v>18.488177399999998</v>
      </c>
      <c r="E32">
        <f>F32*Graphite_format!$F$15</f>
        <v>1.9278599999999999</v>
      </c>
      <c r="F32">
        <f>762000/1000000</f>
        <v>0.76200000000000001</v>
      </c>
      <c r="L32" s="76"/>
    </row>
    <row r="33" spans="1:12">
      <c r="A33" s="75"/>
      <c r="C33" t="s">
        <v>441</v>
      </c>
      <c r="D33">
        <f>E33*Graphite_format!$F$2</f>
        <v>1.1864460299999999</v>
      </c>
      <c r="E33">
        <f>F33*Graphite_format!$F$15</f>
        <v>0.12371699999999999</v>
      </c>
      <c r="F33">
        <f>(20900+28000)/1000000</f>
        <v>4.8899999999999999E-2</v>
      </c>
      <c r="L33" s="76"/>
    </row>
    <row r="34" spans="1:12">
      <c r="A34" s="75"/>
      <c r="C34" t="s">
        <v>447</v>
      </c>
      <c r="D34">
        <f>E34*Graphite_format!$F$2</f>
        <v>0.37121930999999991</v>
      </c>
      <c r="E34">
        <f>F34*Graphite_format!$F$15</f>
        <v>3.8708999999999993E-2</v>
      </c>
      <c r="F34">
        <f>(500+300+12000+2500)/1000000</f>
        <v>1.5299999999999999E-2</v>
      </c>
      <c r="L34" s="76"/>
    </row>
    <row r="35" spans="1:12">
      <c r="A35" s="75"/>
      <c r="C35" t="s">
        <v>535</v>
      </c>
      <c r="D35">
        <f>E35*Graphite_format!$F$2</f>
        <v>0.60656750000000004</v>
      </c>
      <c r="E35">
        <f>F35*Graphite_format!$F$15</f>
        <v>6.3250000000000001E-2</v>
      </c>
      <c r="F35">
        <f>25000/1000000</f>
        <v>2.5000000000000001E-2</v>
      </c>
      <c r="L35" s="76"/>
    </row>
    <row r="36" spans="1:12">
      <c r="A36" s="75"/>
      <c r="C36" t="s">
        <v>537</v>
      </c>
      <c r="D36">
        <f>E36*Graphite_format!$F$2</f>
        <v>0.14557619999999999</v>
      </c>
      <c r="E36">
        <f>F36*Graphite_format!$F$15</f>
        <v>1.5179999999999999E-2</v>
      </c>
      <c r="F36">
        <f>6/1000</f>
        <v>6.0000000000000001E-3</v>
      </c>
      <c r="L36" s="76"/>
    </row>
    <row r="37" spans="1:12">
      <c r="A37" s="75"/>
      <c r="C37" t="s">
        <v>443</v>
      </c>
      <c r="D37">
        <f>E37*Graphite_format!$F$2</f>
        <v>0.19410159999999999</v>
      </c>
      <c r="E37">
        <f>F37*Graphite_format!$F$15</f>
        <v>2.0239999999999998E-2</v>
      </c>
      <c r="F37">
        <f>8/1000</f>
        <v>8.0000000000000002E-3</v>
      </c>
      <c r="L37" s="76"/>
    </row>
    <row r="38" spans="1:12">
      <c r="A38" s="75"/>
      <c r="L38" s="76"/>
    </row>
    <row r="39" spans="1:12">
      <c r="A39" s="75">
        <v>2015</v>
      </c>
      <c r="C39" t="s">
        <v>271</v>
      </c>
      <c r="L39" s="76"/>
    </row>
    <row r="40" spans="1:12">
      <c r="A40" s="75"/>
      <c r="D40" t="s">
        <v>10</v>
      </c>
      <c r="E40" t="s">
        <v>43</v>
      </c>
      <c r="F40" t="s">
        <v>545</v>
      </c>
      <c r="L40" s="76"/>
    </row>
    <row r="41" spans="1:12">
      <c r="A41" s="75"/>
      <c r="C41" t="s">
        <v>446</v>
      </c>
      <c r="D41">
        <f>E41*Graphite_format!$F$2</f>
        <v>1.9410159999999999</v>
      </c>
      <c r="E41">
        <f>F41*Graphite_format!$F$15</f>
        <v>0.2024</v>
      </c>
      <c r="F41">
        <f>(80000)/1000000</f>
        <v>0.08</v>
      </c>
      <c r="L41" s="76"/>
    </row>
    <row r="42" spans="1:12">
      <c r="A42" s="75"/>
      <c r="C42" t="s">
        <v>290</v>
      </c>
      <c r="D42">
        <f>E42*Graphite_format!$F$2</f>
        <v>18.924905999999996</v>
      </c>
      <c r="E42">
        <f>F42*Graphite_format!$F$15</f>
        <v>1.9733999999999998</v>
      </c>
      <c r="F42">
        <f>780/1000</f>
        <v>0.78</v>
      </c>
      <c r="L42" s="76"/>
    </row>
    <row r="43" spans="1:12">
      <c r="A43" s="75"/>
      <c r="C43" t="s">
        <v>441</v>
      </c>
      <c r="D43">
        <f>E43*Graphite_format!$F$2</f>
        <v>0.29115239999999998</v>
      </c>
      <c r="E43">
        <f>F43*Graphite_format!$F$15</f>
        <v>3.0359999999999998E-2</v>
      </c>
      <c r="F43">
        <f>(5+7)/1000</f>
        <v>1.2E-2</v>
      </c>
      <c r="L43" s="76"/>
    </row>
    <row r="44" spans="1:12">
      <c r="A44" s="75"/>
      <c r="C44" t="s">
        <v>447</v>
      </c>
      <c r="D44">
        <f>E44*Graphite_format!$F$2</f>
        <v>0.97050799999999993</v>
      </c>
      <c r="E44">
        <f>F44*Graphite_format!$F$15</f>
        <v>0.1012</v>
      </c>
      <c r="F44">
        <f>(8+32)/1000</f>
        <v>0.04</v>
      </c>
      <c r="L44" s="76"/>
    </row>
    <row r="45" spans="1:12">
      <c r="A45" s="75"/>
      <c r="C45" t="s">
        <v>535</v>
      </c>
      <c r="D45">
        <f>E45*Graphite_format!$F$2</f>
        <v>0.36394049999999994</v>
      </c>
      <c r="E45">
        <f>F45*Graphite_format!$F$15</f>
        <v>3.7949999999999998E-2</v>
      </c>
      <c r="F45">
        <f>15/1000</f>
        <v>1.4999999999999999E-2</v>
      </c>
      <c r="L45" s="76"/>
    </row>
    <row r="46" spans="1:12">
      <c r="A46" s="75"/>
      <c r="C46" t="s">
        <v>537</v>
      </c>
      <c r="D46">
        <f>E46*Graphite_format!$F$2</f>
        <v>4.1246589999999994</v>
      </c>
      <c r="E46">
        <f>F46*Graphite_format!$F$15</f>
        <v>0.43009999999999998</v>
      </c>
      <c r="F46">
        <f>170/1000</f>
        <v>0.17</v>
      </c>
      <c r="L46" s="76"/>
    </row>
    <row r="47" spans="1:12">
      <c r="A47" s="75"/>
      <c r="C47" t="s">
        <v>443</v>
      </c>
      <c r="D47">
        <f>E47*Graphite_format!$F$2</f>
        <v>0.72788099999999989</v>
      </c>
      <c r="E47">
        <f>F47*Graphite_format!$F$15</f>
        <v>7.5899999999999995E-2</v>
      </c>
      <c r="F47">
        <f>30/1000</f>
        <v>0.03</v>
      </c>
      <c r="L47" s="76"/>
    </row>
    <row r="48" spans="1:12" ht="15.75" thickBot="1">
      <c r="A48" s="77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9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E161A-DB13-4445-BAC3-B18AA9478BEA}">
  <dimension ref="A1:M24"/>
  <sheetViews>
    <sheetView workbookViewId="0">
      <selection activeCell="G28" sqref="G28"/>
    </sheetView>
  </sheetViews>
  <sheetFormatPr defaultRowHeight="15"/>
  <cols>
    <col min="1" max="1" width="20.42578125" customWidth="1"/>
  </cols>
  <sheetData>
    <row r="1" spans="1:13">
      <c r="A1" t="s">
        <v>113</v>
      </c>
      <c r="B1" t="s">
        <v>290</v>
      </c>
      <c r="C1" t="s">
        <v>15</v>
      </c>
      <c r="D1" t="s">
        <v>114</v>
      </c>
      <c r="E1">
        <v>10</v>
      </c>
      <c r="F1">
        <v>0.1</v>
      </c>
    </row>
    <row r="2" spans="1:13">
      <c r="A2" t="s">
        <v>113</v>
      </c>
      <c r="B2" t="s">
        <v>290</v>
      </c>
      <c r="C2" t="s">
        <v>15</v>
      </c>
      <c r="D2" t="s">
        <v>114</v>
      </c>
      <c r="E2">
        <v>30</v>
      </c>
      <c r="F2">
        <v>4</v>
      </c>
      <c r="K2" t="s">
        <v>548</v>
      </c>
      <c r="L2" t="s">
        <v>273</v>
      </c>
      <c r="M2" t="s">
        <v>274</v>
      </c>
    </row>
    <row r="3" spans="1:13">
      <c r="A3" t="s">
        <v>107</v>
      </c>
      <c r="B3" t="s">
        <v>290</v>
      </c>
      <c r="C3" t="s">
        <v>15</v>
      </c>
      <c r="D3" t="s">
        <v>114</v>
      </c>
      <c r="E3">
        <v>40</v>
      </c>
      <c r="F3">
        <v>4</v>
      </c>
      <c r="K3" t="s">
        <v>221</v>
      </c>
      <c r="L3" s="56">
        <f>Graphite_format!F277</f>
        <v>6.0501935212784786E-4</v>
      </c>
      <c r="M3" s="56">
        <f>Graphite_format!F278</f>
        <v>1.1704664270119141E-3</v>
      </c>
    </row>
    <row r="4" spans="1:13">
      <c r="A4" t="s">
        <v>107</v>
      </c>
      <c r="B4" t="s">
        <v>290</v>
      </c>
      <c r="C4" t="s">
        <v>15</v>
      </c>
      <c r="D4" t="s">
        <v>114</v>
      </c>
      <c r="E4">
        <v>80</v>
      </c>
      <c r="F4">
        <v>8</v>
      </c>
      <c r="K4" t="s">
        <v>222</v>
      </c>
      <c r="L4" s="56">
        <f>Graphite_format!F287</f>
        <v>7.8876386501203742E-4</v>
      </c>
      <c r="M4" s="56">
        <f>Graphite_format!F288</f>
        <v>1.2708831494078014E-3</v>
      </c>
    </row>
    <row r="5" spans="1:13">
      <c r="A5" t="s">
        <v>108</v>
      </c>
      <c r="B5" t="s">
        <v>290</v>
      </c>
      <c r="C5" t="s">
        <v>15</v>
      </c>
      <c r="D5" t="s">
        <v>114</v>
      </c>
      <c r="E5">
        <v>40</v>
      </c>
      <c r="F5">
        <v>4</v>
      </c>
      <c r="K5" t="s">
        <v>223</v>
      </c>
      <c r="L5" s="56">
        <f>Graphite_format!F297</f>
        <v>7.0101328221278917E-4</v>
      </c>
      <c r="M5" s="56">
        <f>Graphite_format!F298</f>
        <v>1.5955320872700718E-3</v>
      </c>
    </row>
    <row r="6" spans="1:13">
      <c r="A6" t="s">
        <v>108</v>
      </c>
      <c r="B6" t="s">
        <v>290</v>
      </c>
      <c r="C6" t="s">
        <v>15</v>
      </c>
      <c r="D6" t="s">
        <v>114</v>
      </c>
      <c r="E6">
        <v>80</v>
      </c>
      <c r="F6">
        <v>8</v>
      </c>
      <c r="K6" t="s">
        <v>224</v>
      </c>
      <c r="L6" s="56">
        <f>Graphite_format!F307</f>
        <v>7.8561911997264129E-4</v>
      </c>
      <c r="M6" s="56">
        <f>Graphite_format!F308</f>
        <v>1.2025391421641386E-3</v>
      </c>
    </row>
    <row r="7" spans="1:13">
      <c r="A7" t="s">
        <v>109</v>
      </c>
      <c r="B7" t="s">
        <v>290</v>
      </c>
      <c r="C7" t="s">
        <v>15</v>
      </c>
      <c r="D7" t="s">
        <v>114</v>
      </c>
      <c r="E7">
        <v>10</v>
      </c>
      <c r="F7">
        <v>0.1</v>
      </c>
    </row>
    <row r="8" spans="1:13">
      <c r="A8" t="s">
        <v>109</v>
      </c>
      <c r="B8" t="s">
        <v>290</v>
      </c>
      <c r="C8" t="s">
        <v>15</v>
      </c>
      <c r="D8" t="s">
        <v>114</v>
      </c>
      <c r="E8">
        <v>30</v>
      </c>
      <c r="F8">
        <v>4</v>
      </c>
    </row>
    <row r="9" spans="1:13">
      <c r="A9" t="s">
        <v>113</v>
      </c>
      <c r="B9" t="s">
        <v>443</v>
      </c>
      <c r="C9" t="s">
        <v>15</v>
      </c>
      <c r="D9" t="s">
        <v>114</v>
      </c>
      <c r="E9">
        <v>5</v>
      </c>
      <c r="F9">
        <v>0.1</v>
      </c>
    </row>
    <row r="10" spans="1:13">
      <c r="A10" t="s">
        <v>113</v>
      </c>
      <c r="B10" t="s">
        <v>443</v>
      </c>
      <c r="C10" t="s">
        <v>15</v>
      </c>
      <c r="D10" t="s">
        <v>114</v>
      </c>
      <c r="E10">
        <v>15</v>
      </c>
      <c r="F10">
        <v>2</v>
      </c>
    </row>
    <row r="11" spans="1:13">
      <c r="A11" t="s">
        <v>107</v>
      </c>
      <c r="B11" t="s">
        <v>443</v>
      </c>
      <c r="C11" t="s">
        <v>15</v>
      </c>
      <c r="D11" t="s">
        <v>114</v>
      </c>
      <c r="E11">
        <v>20</v>
      </c>
      <c r="F11">
        <v>2</v>
      </c>
    </row>
    <row r="12" spans="1:13">
      <c r="A12" t="s">
        <v>107</v>
      </c>
      <c r="B12" t="s">
        <v>443</v>
      </c>
      <c r="C12" t="s">
        <v>15</v>
      </c>
      <c r="D12" t="s">
        <v>114</v>
      </c>
      <c r="E12">
        <v>40</v>
      </c>
      <c r="F12">
        <v>4</v>
      </c>
    </row>
    <row r="13" spans="1:13">
      <c r="A13" t="s">
        <v>108</v>
      </c>
      <c r="B13" t="s">
        <v>443</v>
      </c>
      <c r="C13" t="s">
        <v>15</v>
      </c>
      <c r="D13" t="s">
        <v>114</v>
      </c>
      <c r="E13">
        <v>20</v>
      </c>
      <c r="F13">
        <v>2</v>
      </c>
    </row>
    <row r="14" spans="1:13">
      <c r="A14" t="s">
        <v>108</v>
      </c>
      <c r="B14" t="s">
        <v>443</v>
      </c>
      <c r="C14" t="s">
        <v>15</v>
      </c>
      <c r="D14" t="s">
        <v>114</v>
      </c>
      <c r="E14">
        <v>40</v>
      </c>
      <c r="F14">
        <v>4</v>
      </c>
    </row>
    <row r="15" spans="1:13">
      <c r="A15" t="s">
        <v>109</v>
      </c>
      <c r="B15" t="s">
        <v>443</v>
      </c>
      <c r="C15" t="s">
        <v>15</v>
      </c>
      <c r="D15" t="s">
        <v>114</v>
      </c>
      <c r="E15">
        <v>5</v>
      </c>
      <c r="F15">
        <v>0.1</v>
      </c>
    </row>
    <row r="16" spans="1:13">
      <c r="A16" t="s">
        <v>109</v>
      </c>
      <c r="B16" t="s">
        <v>443</v>
      </c>
      <c r="C16" t="s">
        <v>15</v>
      </c>
      <c r="D16" t="s">
        <v>114</v>
      </c>
      <c r="E16">
        <v>15</v>
      </c>
      <c r="F16">
        <v>2</v>
      </c>
    </row>
    <row r="17" spans="1:6">
      <c r="A17" t="s">
        <v>113</v>
      </c>
      <c r="B17" t="s">
        <v>447</v>
      </c>
      <c r="C17" t="s">
        <v>15</v>
      </c>
      <c r="D17" t="s">
        <v>114</v>
      </c>
      <c r="E17">
        <v>5</v>
      </c>
      <c r="F17">
        <v>0.1</v>
      </c>
    </row>
    <row r="18" spans="1:6">
      <c r="A18" t="s">
        <v>113</v>
      </c>
      <c r="B18" t="s">
        <v>447</v>
      </c>
      <c r="C18" t="s">
        <v>15</v>
      </c>
      <c r="D18" t="s">
        <v>114</v>
      </c>
      <c r="E18">
        <v>15</v>
      </c>
      <c r="F18">
        <v>2</v>
      </c>
    </row>
    <row r="19" spans="1:6">
      <c r="A19" t="s">
        <v>107</v>
      </c>
      <c r="B19" t="s">
        <v>447</v>
      </c>
      <c r="C19" t="s">
        <v>15</v>
      </c>
      <c r="D19" t="s">
        <v>114</v>
      </c>
      <c r="E19">
        <v>20</v>
      </c>
      <c r="F19">
        <v>2</v>
      </c>
    </row>
    <row r="20" spans="1:6">
      <c r="A20" t="s">
        <v>107</v>
      </c>
      <c r="B20" t="s">
        <v>447</v>
      </c>
      <c r="C20" t="s">
        <v>15</v>
      </c>
      <c r="D20" t="s">
        <v>114</v>
      </c>
      <c r="E20">
        <v>40</v>
      </c>
      <c r="F20">
        <v>4</v>
      </c>
    </row>
    <row r="21" spans="1:6">
      <c r="A21" t="s">
        <v>108</v>
      </c>
      <c r="B21" t="s">
        <v>447</v>
      </c>
      <c r="C21" t="s">
        <v>15</v>
      </c>
      <c r="D21" t="s">
        <v>114</v>
      </c>
      <c r="E21">
        <v>20</v>
      </c>
      <c r="F21">
        <v>2</v>
      </c>
    </row>
    <row r="22" spans="1:6">
      <c r="A22" t="s">
        <v>108</v>
      </c>
      <c r="B22" t="s">
        <v>447</v>
      </c>
      <c r="C22" t="s">
        <v>15</v>
      </c>
      <c r="D22" t="s">
        <v>114</v>
      </c>
      <c r="E22">
        <v>40</v>
      </c>
      <c r="F22">
        <v>4</v>
      </c>
    </row>
    <row r="23" spans="1:6">
      <c r="A23" t="s">
        <v>109</v>
      </c>
      <c r="B23" t="s">
        <v>447</v>
      </c>
      <c r="C23" t="s">
        <v>15</v>
      </c>
      <c r="D23" t="s">
        <v>114</v>
      </c>
      <c r="E23">
        <v>5</v>
      </c>
      <c r="F23">
        <v>0.1</v>
      </c>
    </row>
    <row r="24" spans="1:6">
      <c r="A24" t="s">
        <v>109</v>
      </c>
      <c r="B24" t="s">
        <v>447</v>
      </c>
      <c r="C24" t="s">
        <v>15</v>
      </c>
      <c r="D24" t="s">
        <v>114</v>
      </c>
      <c r="E24">
        <v>15</v>
      </c>
      <c r="F24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5C8A-3088-4155-996F-3C4A72B6D716}">
  <dimension ref="A1:T381"/>
  <sheetViews>
    <sheetView topLeftCell="A183" zoomScale="85" zoomScaleNormal="85" workbookViewId="0">
      <selection activeCell="E264" sqref="E264"/>
    </sheetView>
  </sheetViews>
  <sheetFormatPr defaultRowHeight="15"/>
  <cols>
    <col min="1" max="1" width="36.5703125" customWidth="1"/>
    <col min="2" max="2" width="24.42578125" customWidth="1"/>
    <col min="5" max="5" width="12.140625" customWidth="1"/>
    <col min="6" max="6" width="15.7109375" bestFit="1" customWidth="1"/>
    <col min="17" max="17" width="11.85546875" customWidth="1"/>
    <col min="19" max="19" width="17.140625" bestFit="1" customWidth="1"/>
    <col min="26" max="26" width="11.28515625" bestFit="1" customWidth="1"/>
  </cols>
  <sheetData>
    <row r="1" spans="1:20" ht="15.75" thickBot="1">
      <c r="A1" s="81" t="s">
        <v>52</v>
      </c>
      <c r="B1" s="82" t="s">
        <v>53</v>
      </c>
      <c r="C1" s="82" t="s">
        <v>54</v>
      </c>
      <c r="D1" s="82" t="s">
        <v>55</v>
      </c>
      <c r="E1" s="82" t="s">
        <v>56</v>
      </c>
      <c r="F1" s="82" t="s">
        <v>57</v>
      </c>
      <c r="G1" s="167" t="s">
        <v>58</v>
      </c>
      <c r="I1" s="16" t="s">
        <v>59</v>
      </c>
      <c r="J1" s="16" t="s">
        <v>60</v>
      </c>
    </row>
    <row r="2" spans="1:20">
      <c r="A2" s="72" t="s">
        <v>10</v>
      </c>
      <c r="B2" s="73" t="s">
        <v>290</v>
      </c>
      <c r="C2" s="73" t="s">
        <v>549</v>
      </c>
      <c r="D2" s="73" t="s">
        <v>29</v>
      </c>
      <c r="E2">
        <f>Calculations_caps!D42</f>
        <v>18.924905999999996</v>
      </c>
      <c r="F2">
        <v>0</v>
      </c>
      <c r="G2">
        <v>2015</v>
      </c>
      <c r="I2" s="38" t="s">
        <v>281</v>
      </c>
      <c r="J2" t="s">
        <v>66</v>
      </c>
      <c r="K2" t="s">
        <v>282</v>
      </c>
      <c r="N2">
        <v>11.666666666666666</v>
      </c>
      <c r="O2">
        <v>2.083333333333333</v>
      </c>
    </row>
    <row r="3" spans="1:20">
      <c r="A3" s="75" t="str">
        <f t="shared" ref="A3:D3" si="0">A2</f>
        <v>mining_flotation_graphite</v>
      </c>
      <c r="B3" t="str">
        <f t="shared" si="0"/>
        <v>R12_CHN</v>
      </c>
      <c r="C3" t="str">
        <f t="shared" si="0"/>
        <v>all</v>
      </c>
      <c r="D3" t="str">
        <f t="shared" si="0"/>
        <v>Mt</v>
      </c>
      <c r="E3">
        <f>Calculations_caps!D32</f>
        <v>18.488177399999998</v>
      </c>
      <c r="F3">
        <v>0</v>
      </c>
      <c r="G3">
        <v>2020</v>
      </c>
      <c r="I3" s="38" t="s">
        <v>277</v>
      </c>
      <c r="J3" t="s">
        <v>276</v>
      </c>
      <c r="K3" t="s">
        <v>280</v>
      </c>
      <c r="L3" s="38" t="s">
        <v>279</v>
      </c>
      <c r="N3">
        <v>13.000000000000002</v>
      </c>
      <c r="O3">
        <v>0.26666666666666716</v>
      </c>
    </row>
    <row r="4" spans="1:20">
      <c r="A4" s="75" t="s">
        <v>43</v>
      </c>
      <c r="B4" t="str">
        <f t="shared" ref="B4" si="1">B3</f>
        <v>R12_CHN</v>
      </c>
      <c r="C4" t="s">
        <v>549</v>
      </c>
      <c r="D4" t="s">
        <v>29</v>
      </c>
      <c r="E4">
        <f>Calculations_caps!E42</f>
        <v>1.9733999999999998</v>
      </c>
      <c r="F4">
        <v>0</v>
      </c>
      <c r="G4">
        <v>2015</v>
      </c>
      <c r="I4" s="38" t="s">
        <v>281</v>
      </c>
      <c r="N4">
        <v>0.7</v>
      </c>
      <c r="O4">
        <v>0.12499999999999997</v>
      </c>
    </row>
    <row r="5" spans="1:20">
      <c r="A5" s="75" t="s">
        <v>43</v>
      </c>
      <c r="B5" t="str">
        <f t="shared" ref="B5" si="2">B4</f>
        <v>R12_CHN</v>
      </c>
      <c r="C5" t="s">
        <v>549</v>
      </c>
      <c r="D5" t="s">
        <v>29</v>
      </c>
      <c r="E5">
        <f>Calculations_caps!E32</f>
        <v>1.9278599999999999</v>
      </c>
      <c r="F5">
        <v>0</v>
      </c>
      <c r="G5">
        <v>2020</v>
      </c>
      <c r="I5" s="38" t="s">
        <v>277</v>
      </c>
      <c r="J5" t="s">
        <v>278</v>
      </c>
      <c r="N5">
        <v>0.78</v>
      </c>
      <c r="O5">
        <v>1.6000000000000014E-2</v>
      </c>
    </row>
    <row r="6" spans="1:20">
      <c r="A6" s="75" t="s">
        <v>61</v>
      </c>
      <c r="B6" t="str">
        <f t="shared" ref="B6" si="3">B5</f>
        <v>R12_CHN</v>
      </c>
      <c r="C6" t="s">
        <v>549</v>
      </c>
      <c r="D6" t="s">
        <v>29</v>
      </c>
      <c r="E6">
        <v>5</v>
      </c>
      <c r="F6">
        <v>0.5</v>
      </c>
      <c r="G6">
        <v>2015</v>
      </c>
      <c r="N6">
        <v>5</v>
      </c>
      <c r="O6">
        <v>0.5</v>
      </c>
    </row>
    <row r="7" spans="1:20">
      <c r="A7" s="75" t="s">
        <v>62</v>
      </c>
      <c r="B7" t="str">
        <f t="shared" ref="B7" si="4">B6</f>
        <v>R12_CHN</v>
      </c>
      <c r="C7" t="s">
        <v>549</v>
      </c>
      <c r="D7" t="s">
        <v>29</v>
      </c>
      <c r="E7">
        <v>1.5</v>
      </c>
      <c r="F7">
        <v>0.15000000000000002</v>
      </c>
      <c r="G7">
        <v>2020</v>
      </c>
      <c r="N7">
        <v>1.5</v>
      </c>
      <c r="O7">
        <v>0.15000000000000002</v>
      </c>
    </row>
    <row r="8" spans="1:20">
      <c r="A8" s="75" t="s">
        <v>63</v>
      </c>
      <c r="B8" t="str">
        <f t="shared" ref="B8" si="5">B7</f>
        <v>R12_CHN</v>
      </c>
      <c r="C8" t="s">
        <v>549</v>
      </c>
      <c r="D8" t="s">
        <v>29</v>
      </c>
      <c r="E8">
        <v>0.36</v>
      </c>
      <c r="F8">
        <v>0.03</v>
      </c>
      <c r="G8">
        <v>2015</v>
      </c>
      <c r="N8">
        <v>0.36</v>
      </c>
      <c r="O8">
        <v>0.03</v>
      </c>
    </row>
    <row r="9" spans="1:20">
      <c r="A9" s="75" t="s">
        <v>61</v>
      </c>
      <c r="B9" t="str">
        <f t="shared" ref="B9" si="6">B8</f>
        <v>R12_CHN</v>
      </c>
      <c r="C9" t="s">
        <v>549</v>
      </c>
      <c r="D9" t="s">
        <v>29</v>
      </c>
      <c r="E9">
        <v>7</v>
      </c>
      <c r="F9">
        <v>0.70000000000000007</v>
      </c>
      <c r="G9">
        <v>2020</v>
      </c>
      <c r="N9">
        <v>7</v>
      </c>
      <c r="O9">
        <v>0.70000000000000007</v>
      </c>
    </row>
    <row r="10" spans="1:20">
      <c r="A10" s="75" t="s">
        <v>62</v>
      </c>
      <c r="B10" t="str">
        <f t="shared" ref="B10" si="7">B9</f>
        <v>R12_CHN</v>
      </c>
      <c r="C10" t="s">
        <v>549</v>
      </c>
      <c r="D10" t="s">
        <v>29</v>
      </c>
      <c r="E10">
        <v>2</v>
      </c>
      <c r="F10">
        <v>0.1</v>
      </c>
      <c r="G10">
        <v>2015</v>
      </c>
      <c r="N10">
        <v>2</v>
      </c>
      <c r="O10">
        <v>0.1</v>
      </c>
    </row>
    <row r="11" spans="1:20">
      <c r="A11" s="75" t="s">
        <v>63</v>
      </c>
      <c r="B11" t="str">
        <f t="shared" ref="B11" si="8">B10</f>
        <v>R12_CHN</v>
      </c>
      <c r="C11" t="s">
        <v>549</v>
      </c>
      <c r="D11" t="s">
        <v>29</v>
      </c>
      <c r="E11">
        <v>0.9</v>
      </c>
      <c r="F11">
        <v>0.05</v>
      </c>
      <c r="G11">
        <v>2020</v>
      </c>
      <c r="N11">
        <v>0.9</v>
      </c>
      <c r="O11">
        <v>0.05</v>
      </c>
    </row>
    <row r="12" spans="1:20">
      <c r="A12" s="75" t="s">
        <v>64</v>
      </c>
      <c r="B12" t="str">
        <f t="shared" ref="B12" si="9">B11</f>
        <v>R12_CHN</v>
      </c>
      <c r="C12" t="s">
        <v>549</v>
      </c>
      <c r="D12" t="s">
        <v>29</v>
      </c>
      <c r="E12">
        <f>Calculations_caps!D12</f>
        <v>0.14460000000000001</v>
      </c>
      <c r="F12">
        <f>F15/2</f>
        <v>8.1699000000000008E-2</v>
      </c>
      <c r="G12">
        <v>2015</v>
      </c>
      <c r="I12" s="38" t="s">
        <v>65</v>
      </c>
      <c r="J12" t="s">
        <v>66</v>
      </c>
      <c r="N12">
        <v>2.016</v>
      </c>
      <c r="O12">
        <v>9.6000000000000002E-2</v>
      </c>
      <c r="R12" t="s">
        <v>539</v>
      </c>
      <c r="S12" t="s">
        <v>538</v>
      </c>
      <c r="T12" t="s">
        <v>268</v>
      </c>
    </row>
    <row r="13" spans="1:20">
      <c r="A13" s="75" t="s">
        <v>67</v>
      </c>
      <c r="B13" t="str">
        <f t="shared" ref="B13" si="10">B12</f>
        <v>R12_CHN</v>
      </c>
      <c r="C13" t="s">
        <v>549</v>
      </c>
      <c r="D13" t="s">
        <v>29</v>
      </c>
      <c r="E13">
        <f>Calculations_caps!E12</f>
        <v>6.0000000000000001E-3</v>
      </c>
      <c r="F13">
        <f>F16*0.2</f>
        <v>1.356E-3</v>
      </c>
      <c r="G13">
        <v>2020</v>
      </c>
      <c r="N13">
        <v>0</v>
      </c>
      <c r="O13">
        <v>0</v>
      </c>
      <c r="Q13" t="s">
        <v>446</v>
      </c>
      <c r="R13">
        <f>S13*Graphite_format!F64</f>
        <v>2.6413600000000002</v>
      </c>
      <c r="S13">
        <f>T13*Graphite_format!F70</f>
        <v>0.1096</v>
      </c>
      <c r="T13">
        <f>(5900+21500)/1000000</f>
        <v>2.7400000000000001E-2</v>
      </c>
    </row>
    <row r="14" spans="1:20">
      <c r="A14" s="75" t="s">
        <v>68</v>
      </c>
      <c r="B14" t="str">
        <f t="shared" ref="B14" si="11">B13</f>
        <v>R12_CHN</v>
      </c>
      <c r="C14" t="s">
        <v>549</v>
      </c>
      <c r="D14" t="s">
        <v>29</v>
      </c>
      <c r="E14">
        <v>0.1</v>
      </c>
      <c r="F14">
        <v>1.0000000000000002E-2</v>
      </c>
      <c r="G14">
        <v>2015</v>
      </c>
      <c r="I14" s="38" t="s">
        <v>242</v>
      </c>
      <c r="J14" t="s">
        <v>243</v>
      </c>
      <c r="M14">
        <f>17000*24*4/1000000</f>
        <v>1.6319999999999999</v>
      </c>
      <c r="N14">
        <v>0.1</v>
      </c>
      <c r="O14">
        <v>1.0000000000000002E-2</v>
      </c>
    </row>
    <row r="15" spans="1:20">
      <c r="A15" s="75" t="s">
        <v>64</v>
      </c>
      <c r="B15" t="str">
        <f t="shared" ref="B15" si="12">B14</f>
        <v>R12_CHN</v>
      </c>
      <c r="C15" t="s">
        <v>549</v>
      </c>
      <c r="D15" t="s">
        <v>29</v>
      </c>
      <c r="E15">
        <f>Calculations_caps!D4</f>
        <v>0.96159000000000006</v>
      </c>
      <c r="F15">
        <f>(E15-E12)/5</f>
        <v>0.16339800000000002</v>
      </c>
      <c r="G15">
        <v>2020</v>
      </c>
      <c r="I15" s="38" t="s">
        <v>69</v>
      </c>
      <c r="J15" t="s">
        <v>70</v>
      </c>
      <c r="N15">
        <v>2.4384000000000001</v>
      </c>
      <c r="O15">
        <v>8.4480000000000027E-2</v>
      </c>
    </row>
    <row r="16" spans="1:20">
      <c r="A16" s="75" t="s">
        <v>67</v>
      </c>
      <c r="B16" t="str">
        <f t="shared" ref="B16" si="13">B15</f>
        <v>R12_CHN</v>
      </c>
      <c r="C16" t="s">
        <v>549</v>
      </c>
      <c r="D16" t="s">
        <v>29</v>
      </c>
      <c r="E16">
        <f>Calculations_caps!E4</f>
        <v>3.9899999999999998E-2</v>
      </c>
      <c r="F16">
        <f>(E16-E13)/5</f>
        <v>6.7799999999999996E-3</v>
      </c>
      <c r="G16">
        <v>2015</v>
      </c>
      <c r="I16" s="38" t="s">
        <v>242</v>
      </c>
      <c r="N16">
        <v>0.14000000000000001</v>
      </c>
      <c r="O16">
        <v>8.0000000000000019E-3</v>
      </c>
    </row>
    <row r="17" spans="1:15">
      <c r="A17" s="75" t="s">
        <v>68</v>
      </c>
      <c r="B17" t="str">
        <f t="shared" ref="B17" si="14">B16</f>
        <v>R12_CHN</v>
      </c>
      <c r="C17" t="s">
        <v>549</v>
      </c>
      <c r="D17" t="s">
        <v>29</v>
      </c>
      <c r="E17">
        <v>0</v>
      </c>
      <c r="F17">
        <v>0</v>
      </c>
      <c r="G17">
        <v>2020</v>
      </c>
      <c r="N17">
        <v>0</v>
      </c>
      <c r="O17">
        <v>0</v>
      </c>
    </row>
    <row r="18" spans="1:15">
      <c r="A18" s="75" t="s">
        <v>71</v>
      </c>
      <c r="B18" t="str">
        <f t="shared" ref="B18" si="15">B17</f>
        <v>R12_CHN</v>
      </c>
      <c r="C18" t="s">
        <v>549</v>
      </c>
      <c r="D18" t="s">
        <v>29</v>
      </c>
      <c r="E18">
        <f>Calculations_caps!J11</f>
        <v>1.4445000000000001E-2</v>
      </c>
      <c r="F18">
        <f>F19*(E18/E19)</f>
        <v>2.4545639097744362E-3</v>
      </c>
      <c r="G18">
        <v>2015</v>
      </c>
      <c r="I18" s="38" t="s">
        <v>65</v>
      </c>
      <c r="J18" t="s">
        <v>66</v>
      </c>
      <c r="N18">
        <v>0.316</v>
      </c>
      <c r="O18">
        <v>3.1600000000000003E-2</v>
      </c>
    </row>
    <row r="19" spans="1:15">
      <c r="A19" s="75" t="s">
        <v>71</v>
      </c>
      <c r="B19" t="str">
        <f t="shared" ref="B19" si="16">B18</f>
        <v>R12_CHN</v>
      </c>
      <c r="C19" t="s">
        <v>549</v>
      </c>
      <c r="D19" t="s">
        <v>29</v>
      </c>
      <c r="E19">
        <f>Calculations_caps!J3</f>
        <v>9.6059249999999985E-2</v>
      </c>
      <c r="F19">
        <f>(E19-E18)/5</f>
        <v>1.6322849999999996E-2</v>
      </c>
      <c r="G19">
        <v>2020</v>
      </c>
      <c r="I19" s="38" t="s">
        <v>69</v>
      </c>
      <c r="J19" t="s">
        <v>70</v>
      </c>
      <c r="N19">
        <v>0.49</v>
      </c>
      <c r="O19">
        <v>3.4799999999999998E-2</v>
      </c>
    </row>
    <row r="20" spans="1:15">
      <c r="A20" s="75" t="s">
        <v>72</v>
      </c>
      <c r="B20" t="str">
        <f t="shared" ref="B20" si="17">B19</f>
        <v>R12_CHN</v>
      </c>
      <c r="C20" t="s">
        <v>549</v>
      </c>
      <c r="D20" t="s">
        <v>29</v>
      </c>
      <c r="E20">
        <f>Calculations_caps!K11</f>
        <v>3.2100000000000002E-3</v>
      </c>
      <c r="F20">
        <f>F21*(E20/E21)</f>
        <v>5.4545864661654131E-4</v>
      </c>
      <c r="G20">
        <v>2015</v>
      </c>
      <c r="I20" s="38" t="s">
        <v>242</v>
      </c>
      <c r="J20" t="s">
        <v>244</v>
      </c>
      <c r="N20">
        <v>0.06</v>
      </c>
      <c r="O20">
        <v>6.0000000000000001E-3</v>
      </c>
    </row>
    <row r="21" spans="1:15">
      <c r="A21" s="75" t="s">
        <v>72</v>
      </c>
      <c r="B21" t="str">
        <f t="shared" ref="B21" si="18">B20</f>
        <v>R12_CHN</v>
      </c>
      <c r="C21" t="s">
        <v>549</v>
      </c>
      <c r="D21" t="s">
        <v>29</v>
      </c>
      <c r="E21">
        <f>Calculations_caps!K3</f>
        <v>2.1346499999999997E-2</v>
      </c>
      <c r="F21">
        <f>(E21-E20)/5</f>
        <v>3.6272999999999991E-3</v>
      </c>
      <c r="G21">
        <v>2020</v>
      </c>
      <c r="I21" s="38" t="s">
        <v>242</v>
      </c>
      <c r="N21">
        <v>0.17299999999999999</v>
      </c>
      <c r="O21">
        <v>2.2599999999999999E-2</v>
      </c>
    </row>
    <row r="22" spans="1:15">
      <c r="A22" s="75" t="s">
        <v>73</v>
      </c>
      <c r="B22" t="str">
        <f t="shared" ref="B22" si="19">B21</f>
        <v>R12_CHN</v>
      </c>
      <c r="C22" t="s">
        <v>549</v>
      </c>
      <c r="D22" t="s">
        <v>29</v>
      </c>
      <c r="E22">
        <v>0</v>
      </c>
      <c r="F22">
        <v>0</v>
      </c>
      <c r="G22">
        <v>2015</v>
      </c>
      <c r="I22" s="38" t="s">
        <v>287</v>
      </c>
      <c r="N22">
        <v>0</v>
      </c>
      <c r="O22">
        <v>0</v>
      </c>
    </row>
    <row r="23" spans="1:15">
      <c r="A23" s="75" t="s">
        <v>73</v>
      </c>
      <c r="B23" t="str">
        <f t="shared" ref="B23" si="20">B22</f>
        <v>R12_CHN</v>
      </c>
      <c r="C23" t="s">
        <v>549</v>
      </c>
      <c r="D23" t="s">
        <v>29</v>
      </c>
      <c r="E23">
        <v>0</v>
      </c>
      <c r="F23">
        <v>0</v>
      </c>
      <c r="G23">
        <v>2020</v>
      </c>
      <c r="I23" s="38" t="s">
        <v>287</v>
      </c>
      <c r="N23">
        <v>0</v>
      </c>
      <c r="O23">
        <v>0</v>
      </c>
    </row>
    <row r="24" spans="1:15">
      <c r="A24" s="75" t="s">
        <v>75</v>
      </c>
      <c r="B24" t="str">
        <f t="shared" ref="B24" si="21">B23</f>
        <v>R12_CHN</v>
      </c>
      <c r="C24" t="s">
        <v>549</v>
      </c>
      <c r="D24" t="s">
        <v>29</v>
      </c>
      <c r="E24" s="13">
        <v>2.2972972972972974E-2</v>
      </c>
      <c r="F24">
        <v>6.7567567567567571E-4</v>
      </c>
      <c r="G24">
        <v>2015</v>
      </c>
      <c r="I24" s="38" t="s">
        <v>288</v>
      </c>
      <c r="N24">
        <v>2.2972972972972974E-2</v>
      </c>
      <c r="O24">
        <v>6.7567567567567571E-4</v>
      </c>
    </row>
    <row r="25" spans="1:15">
      <c r="A25" s="75" t="s">
        <v>75</v>
      </c>
      <c r="B25" t="str">
        <f t="shared" ref="B25" si="22">B24</f>
        <v>R12_CHN</v>
      </c>
      <c r="C25" t="s">
        <v>549</v>
      </c>
      <c r="D25" t="s">
        <v>29</v>
      </c>
      <c r="E25" s="13">
        <v>5.1299999999999998E-2</v>
      </c>
      <c r="F25">
        <v>5.6654054054054047E-3</v>
      </c>
      <c r="G25">
        <v>2020</v>
      </c>
      <c r="I25" s="38" t="s">
        <v>289</v>
      </c>
      <c r="N25">
        <v>5.1299999999999998E-2</v>
      </c>
      <c r="O25">
        <v>5.6654054054054047E-3</v>
      </c>
    </row>
    <row r="26" spans="1:15">
      <c r="A26" s="75" t="s">
        <v>79</v>
      </c>
      <c r="B26" t="str">
        <f t="shared" ref="B26" si="23">B25</f>
        <v>R12_CHN</v>
      </c>
      <c r="C26" t="s">
        <v>549</v>
      </c>
      <c r="D26" t="s">
        <v>29</v>
      </c>
      <c r="E26">
        <v>0</v>
      </c>
      <c r="F26">
        <v>0</v>
      </c>
      <c r="G26">
        <v>2015</v>
      </c>
      <c r="N26">
        <v>0</v>
      </c>
      <c r="O26">
        <v>0</v>
      </c>
    </row>
    <row r="27" spans="1:15">
      <c r="A27" s="75" t="s">
        <v>79</v>
      </c>
      <c r="B27" t="str">
        <f t="shared" ref="B27" si="24">B26</f>
        <v>R12_CHN</v>
      </c>
      <c r="C27" t="s">
        <v>549</v>
      </c>
      <c r="D27" t="s">
        <v>29</v>
      </c>
      <c r="E27">
        <v>0</v>
      </c>
      <c r="F27">
        <v>0</v>
      </c>
      <c r="G27">
        <v>2020</v>
      </c>
      <c r="N27">
        <v>0</v>
      </c>
      <c r="O27">
        <v>0</v>
      </c>
    </row>
    <row r="28" spans="1:15">
      <c r="A28" s="75" t="s">
        <v>80</v>
      </c>
      <c r="B28" t="str">
        <f t="shared" ref="B28" si="25">B27</f>
        <v>R12_CHN</v>
      </c>
      <c r="C28" t="s">
        <v>549</v>
      </c>
      <c r="D28" t="s">
        <v>29</v>
      </c>
      <c r="E28">
        <v>0</v>
      </c>
      <c r="F28">
        <v>0</v>
      </c>
      <c r="G28">
        <v>2015</v>
      </c>
      <c r="I28" t="s">
        <v>284</v>
      </c>
      <c r="N28">
        <v>5.6588902900378317E-2</v>
      </c>
      <c r="O28">
        <v>7.8814627994955866E-3</v>
      </c>
    </row>
    <row r="29" spans="1:15">
      <c r="A29" s="75" t="s">
        <v>80</v>
      </c>
      <c r="B29" t="str">
        <f t="shared" ref="B29" si="26">B28</f>
        <v>R12_CHN</v>
      </c>
      <c r="C29" t="s">
        <v>549</v>
      </c>
      <c r="D29" t="s">
        <v>29</v>
      </c>
      <c r="E29">
        <v>0</v>
      </c>
      <c r="F29">
        <v>0</v>
      </c>
      <c r="G29">
        <v>2020</v>
      </c>
      <c r="I29" t="s">
        <v>285</v>
      </c>
      <c r="N29">
        <v>8.5907944514501899E-2</v>
      </c>
      <c r="O29">
        <v>5.8638083228247165E-3</v>
      </c>
    </row>
    <row r="30" spans="1:15">
      <c r="A30" s="75" t="s">
        <v>81</v>
      </c>
      <c r="B30" t="str">
        <f t="shared" ref="B30" si="27">B29</f>
        <v>R12_CHN</v>
      </c>
      <c r="C30" t="s">
        <v>549</v>
      </c>
      <c r="D30" t="s">
        <v>29</v>
      </c>
      <c r="E30">
        <v>2.5000000000000001E-2</v>
      </c>
      <c r="F30">
        <v>5.9624999999999999E-3</v>
      </c>
      <c r="G30">
        <v>2015</v>
      </c>
      <c r="I30" s="38" t="s">
        <v>286</v>
      </c>
      <c r="N30">
        <v>5.9624999999999997E-2</v>
      </c>
      <c r="O30">
        <v>5.9624999999999999E-3</v>
      </c>
    </row>
    <row r="31" spans="1:15">
      <c r="A31" s="75" t="s">
        <v>81</v>
      </c>
      <c r="B31" t="str">
        <f t="shared" ref="B31" si="28">B30</f>
        <v>R12_CHN</v>
      </c>
      <c r="C31" t="s">
        <v>549</v>
      </c>
      <c r="D31" t="s">
        <v>29</v>
      </c>
      <c r="E31">
        <v>3.9E-2</v>
      </c>
      <c r="F31">
        <f>(E31-E30)/5</f>
        <v>2.7999999999999995E-3</v>
      </c>
      <c r="G31">
        <v>2020</v>
      </c>
      <c r="I31" s="38" t="s">
        <v>286</v>
      </c>
      <c r="K31" t="s">
        <v>70</v>
      </c>
      <c r="N31">
        <v>7.485E-2</v>
      </c>
      <c r="O31">
        <v>3.0450000000000004E-3</v>
      </c>
    </row>
    <row r="32" spans="1:15">
      <c r="A32" s="75" t="s">
        <v>86</v>
      </c>
      <c r="B32" t="str">
        <f t="shared" ref="B32" si="29">B31</f>
        <v>R12_CHN</v>
      </c>
      <c r="C32" t="s">
        <v>549</v>
      </c>
      <c r="D32" t="s">
        <v>29</v>
      </c>
      <c r="E32">
        <v>1.66</v>
      </c>
      <c r="F32">
        <v>0.1</v>
      </c>
      <c r="G32">
        <v>2015</v>
      </c>
      <c r="I32" s="38"/>
    </row>
    <row r="33" spans="1:15">
      <c r="A33" s="75" t="s">
        <v>86</v>
      </c>
      <c r="B33" t="str">
        <f t="shared" ref="B33" si="30">B32</f>
        <v>R12_CHN</v>
      </c>
      <c r="C33" t="s">
        <v>549</v>
      </c>
      <c r="D33" t="s">
        <v>29</v>
      </c>
      <c r="E33">
        <v>1.46</v>
      </c>
      <c r="F33">
        <v>2.0000000000000018E-2</v>
      </c>
      <c r="G33">
        <v>2020</v>
      </c>
    </row>
    <row r="34" spans="1:15">
      <c r="A34" s="75" t="s">
        <v>87</v>
      </c>
      <c r="B34" t="str">
        <f t="shared" ref="B34" si="31">B33</f>
        <v>R12_CHN</v>
      </c>
      <c r="C34" t="s">
        <v>549</v>
      </c>
      <c r="D34" t="s">
        <v>29</v>
      </c>
      <c r="E34" s="56">
        <f>E302*Graphite_format!F277</f>
        <v>6.0501935212784784E-3</v>
      </c>
      <c r="F34" s="56">
        <f>F35*(E34/E35)</f>
        <v>1.0083655868797464E-3</v>
      </c>
      <c r="G34">
        <v>2015</v>
      </c>
      <c r="N34">
        <v>1</v>
      </c>
      <c r="O34">
        <v>0.1</v>
      </c>
    </row>
    <row r="35" spans="1:15">
      <c r="A35" s="75" t="s">
        <v>87</v>
      </c>
      <c r="B35" t="str">
        <f t="shared" ref="B35" si="32">B34</f>
        <v>R12_CHN</v>
      </c>
      <c r="C35" t="s">
        <v>549</v>
      </c>
      <c r="D35" t="s">
        <v>29</v>
      </c>
      <c r="E35" s="56">
        <f>E303*Graphite_format!F277</f>
        <v>3.6301161127670872E-2</v>
      </c>
      <c r="F35" s="56">
        <f>(E35-E34)/5</f>
        <v>6.0501935212784793E-3</v>
      </c>
      <c r="G35">
        <v>2020</v>
      </c>
      <c r="I35" t="s">
        <v>88</v>
      </c>
      <c r="N35">
        <v>1</v>
      </c>
      <c r="O35">
        <v>0.1</v>
      </c>
    </row>
    <row r="36" spans="1:15">
      <c r="A36" s="75" t="s">
        <v>89</v>
      </c>
      <c r="B36" t="str">
        <f t="shared" ref="B36" si="33">B35</f>
        <v>R12_CHN</v>
      </c>
      <c r="C36" t="s">
        <v>549</v>
      </c>
      <c r="D36" t="s">
        <v>29</v>
      </c>
      <c r="E36" s="56">
        <f>E304*Graphite_format!F287</f>
        <v>3.1550554600481499E-2</v>
      </c>
      <c r="F36" s="56">
        <f>F37*(E36/E37)</f>
        <v>4.7325831900722247E-3</v>
      </c>
      <c r="G36">
        <v>2015</v>
      </c>
      <c r="I36" t="s">
        <v>90</v>
      </c>
      <c r="N36">
        <v>1</v>
      </c>
      <c r="O36">
        <v>0.1</v>
      </c>
    </row>
    <row r="37" spans="1:15">
      <c r="A37" s="75" t="s">
        <v>89</v>
      </c>
      <c r="B37" t="str">
        <f t="shared" ref="B37" si="34">B36</f>
        <v>R12_CHN</v>
      </c>
      <c r="C37" t="s">
        <v>549</v>
      </c>
      <c r="D37" t="s">
        <v>29</v>
      </c>
      <c r="E37" s="56">
        <f>E305*Graphite_format!F287</f>
        <v>0.126202218401926</v>
      </c>
      <c r="F37" s="56">
        <f>(E37-E36)/5</f>
        <v>1.8930332760288899E-2</v>
      </c>
      <c r="G37">
        <v>2020</v>
      </c>
      <c r="I37" t="s">
        <v>91</v>
      </c>
      <c r="N37">
        <v>1</v>
      </c>
      <c r="O37">
        <v>0.1</v>
      </c>
    </row>
    <row r="38" spans="1:15">
      <c r="A38" s="75" t="s">
        <v>92</v>
      </c>
      <c r="B38" t="str">
        <f t="shared" ref="B38" si="35">B37</f>
        <v>R12_CHN</v>
      </c>
      <c r="C38" t="s">
        <v>549</v>
      </c>
      <c r="D38" t="s">
        <v>29</v>
      </c>
      <c r="E38" s="56">
        <f>E306*Graphite_format!F297</f>
        <v>2.8040531288511566E-2</v>
      </c>
      <c r="F38" s="56">
        <f>F39*(E38/E39)</f>
        <v>4.2060796932767344E-3</v>
      </c>
      <c r="G38">
        <v>2015</v>
      </c>
      <c r="I38" t="s">
        <v>93</v>
      </c>
    </row>
    <row r="39" spans="1:15">
      <c r="A39" s="75" t="s">
        <v>92</v>
      </c>
      <c r="B39" t="str">
        <f t="shared" ref="B39" si="36">B38</f>
        <v>R12_CHN</v>
      </c>
      <c r="C39" t="s">
        <v>549</v>
      </c>
      <c r="D39" t="s">
        <v>29</v>
      </c>
      <c r="E39" s="56">
        <f>E307*Graphite_format!F297</f>
        <v>0.11216212515404626</v>
      </c>
      <c r="F39" s="56">
        <f>(E39-E38)/5</f>
        <v>1.6824318773106937E-2</v>
      </c>
      <c r="G39">
        <v>2020</v>
      </c>
      <c r="I39" s="57" t="s">
        <v>94</v>
      </c>
    </row>
    <row r="40" spans="1:15">
      <c r="A40" s="75" t="s">
        <v>95</v>
      </c>
      <c r="B40" t="str">
        <f t="shared" ref="B40" si="37">B39</f>
        <v>R12_CHN</v>
      </c>
      <c r="C40" t="s">
        <v>549</v>
      </c>
      <c r="D40" t="s">
        <v>29</v>
      </c>
      <c r="E40" s="56">
        <f>E308*Graphite_format!F307</f>
        <v>7.8561911997264127E-3</v>
      </c>
      <c r="F40" s="56">
        <f>F41*(E40/E41)</f>
        <v>1.309365199954402E-3</v>
      </c>
      <c r="G40">
        <v>2015</v>
      </c>
      <c r="I40" s="57" t="s">
        <v>96</v>
      </c>
      <c r="N40">
        <v>1</v>
      </c>
      <c r="O40">
        <v>0.1</v>
      </c>
    </row>
    <row r="41" spans="1:15">
      <c r="A41" s="75" t="s">
        <v>95</v>
      </c>
      <c r="B41" t="str">
        <f t="shared" ref="B41" si="38">B40</f>
        <v>R12_CHN</v>
      </c>
      <c r="C41" t="s">
        <v>549</v>
      </c>
      <c r="D41" t="s">
        <v>29</v>
      </c>
      <c r="E41" s="56">
        <f>E309*Graphite_format!F307</f>
        <v>4.713714719835848E-2</v>
      </c>
      <c r="F41" s="56">
        <f>(E41-E40)/5</f>
        <v>7.8561911997264127E-3</v>
      </c>
      <c r="G41">
        <v>2020</v>
      </c>
      <c r="I41" s="57"/>
      <c r="N41">
        <v>1</v>
      </c>
      <c r="O41">
        <v>0.1</v>
      </c>
    </row>
    <row r="42" spans="1:15">
      <c r="A42" s="75" t="s">
        <v>97</v>
      </c>
      <c r="B42" t="str">
        <f t="shared" ref="B42" si="39">B41</f>
        <v>R12_CHN</v>
      </c>
      <c r="C42" t="s">
        <v>549</v>
      </c>
      <c r="D42" t="s">
        <v>29</v>
      </c>
      <c r="E42" s="56">
        <f>E302*Graphite_format!F278</f>
        <v>1.1704664270119141E-2</v>
      </c>
      <c r="F42" s="56">
        <f>F43*(E42/E43)</f>
        <v>1.9507773783531903E-3</v>
      </c>
      <c r="G42">
        <v>2015</v>
      </c>
      <c r="I42" s="57"/>
      <c r="N42">
        <v>1</v>
      </c>
      <c r="O42">
        <v>0.1</v>
      </c>
    </row>
    <row r="43" spans="1:15">
      <c r="A43" s="75" t="s">
        <v>97</v>
      </c>
      <c r="B43" t="str">
        <f t="shared" ref="B43" si="40">B42</f>
        <v>R12_CHN</v>
      </c>
      <c r="C43" t="s">
        <v>549</v>
      </c>
      <c r="D43" t="s">
        <v>29</v>
      </c>
      <c r="E43" s="56">
        <f>E303*Graphite_format!F278</f>
        <v>7.0227985620714847E-2</v>
      </c>
      <c r="F43" s="56">
        <f>(E43-E42)/5</f>
        <v>1.1704664270119142E-2</v>
      </c>
      <c r="G43">
        <v>2020</v>
      </c>
      <c r="I43" s="57"/>
      <c r="N43">
        <v>1</v>
      </c>
      <c r="O43">
        <v>0.1</v>
      </c>
    </row>
    <row r="44" spans="1:15">
      <c r="A44" s="75" t="s">
        <v>98</v>
      </c>
      <c r="B44" t="str">
        <f t="shared" ref="B44" si="41">B43</f>
        <v>R12_CHN</v>
      </c>
      <c r="C44" t="s">
        <v>549</v>
      </c>
      <c r="D44" t="s">
        <v>29</v>
      </c>
      <c r="E44" s="56">
        <f>E304*Graphite_format!F288</f>
        <v>5.083532597631206E-2</v>
      </c>
      <c r="F44" s="56">
        <f>F45*(E44/E45)</f>
        <v>7.6252988964468083E-3</v>
      </c>
      <c r="G44">
        <v>2015</v>
      </c>
      <c r="N44">
        <v>1</v>
      </c>
      <c r="O44">
        <v>0.1</v>
      </c>
    </row>
    <row r="45" spans="1:15">
      <c r="A45" s="75" t="s">
        <v>98</v>
      </c>
      <c r="B45" t="str">
        <f t="shared" ref="B45" si="42">B44</f>
        <v>R12_CHN</v>
      </c>
      <c r="C45" t="s">
        <v>549</v>
      </c>
      <c r="D45" t="s">
        <v>29</v>
      </c>
      <c r="E45" s="56">
        <f>E305*Graphite_format!F288</f>
        <v>0.20334130390524824</v>
      </c>
      <c r="F45" s="56">
        <f>(E45-E44)/5</f>
        <v>3.0501195585787233E-2</v>
      </c>
      <c r="G45">
        <v>2020</v>
      </c>
      <c r="N45">
        <v>1</v>
      </c>
      <c r="O45">
        <v>0.1</v>
      </c>
    </row>
    <row r="46" spans="1:15">
      <c r="A46" s="75" t="s">
        <v>99</v>
      </c>
      <c r="B46" t="str">
        <f t="shared" ref="B46" si="43">B45</f>
        <v>R12_CHN</v>
      </c>
      <c r="C46" t="s">
        <v>549</v>
      </c>
      <c r="D46" t="s">
        <v>29</v>
      </c>
      <c r="E46" s="56">
        <f>E306*Graphite_format!F298</f>
        <v>6.3821283490802877E-2</v>
      </c>
      <c r="F46" s="56">
        <f>F47*(E46/E47)</f>
        <v>9.5731925236204312E-3</v>
      </c>
      <c r="G46">
        <v>2015</v>
      </c>
    </row>
    <row r="47" spans="1:15">
      <c r="A47" s="75" t="s">
        <v>99</v>
      </c>
      <c r="B47" t="str">
        <f t="shared" ref="B47" si="44">B46</f>
        <v>R12_CHN</v>
      </c>
      <c r="C47" t="s">
        <v>549</v>
      </c>
      <c r="D47" t="s">
        <v>29</v>
      </c>
      <c r="E47" s="56">
        <f>E307*Graphite_format!F298</f>
        <v>0.25528513396321151</v>
      </c>
      <c r="F47" s="56">
        <f>(E47-E46)/5</f>
        <v>3.8292770094481725E-2</v>
      </c>
      <c r="G47">
        <v>2020</v>
      </c>
    </row>
    <row r="48" spans="1:15">
      <c r="A48" s="75" t="s">
        <v>100</v>
      </c>
      <c r="B48" t="str">
        <f t="shared" ref="B48" si="45">B47</f>
        <v>R12_CHN</v>
      </c>
      <c r="C48" t="s">
        <v>549</v>
      </c>
      <c r="D48" t="s">
        <v>29</v>
      </c>
      <c r="E48" s="56">
        <f>E308*Graphite_format!F308</f>
        <v>1.2025391421641387E-2</v>
      </c>
      <c r="F48" s="56">
        <f>F49*(E48/E49)</f>
        <v>2.0042319036068981E-3</v>
      </c>
      <c r="G48">
        <v>2015</v>
      </c>
      <c r="N48">
        <v>1</v>
      </c>
      <c r="O48">
        <v>0.1</v>
      </c>
    </row>
    <row r="49" spans="1:15">
      <c r="A49" s="75" t="s">
        <v>100</v>
      </c>
      <c r="B49" t="str">
        <f t="shared" ref="B49" si="46">B48</f>
        <v>R12_CHN</v>
      </c>
      <c r="C49" t="s">
        <v>549</v>
      </c>
      <c r="D49" t="s">
        <v>29</v>
      </c>
      <c r="E49" s="56">
        <f>E309*Graphite_format!F308</f>
        <v>7.2152348529848323E-2</v>
      </c>
      <c r="F49" s="56">
        <f>(E49-E48)/5</f>
        <v>1.2025391421641388E-2</v>
      </c>
      <c r="G49">
        <v>2020</v>
      </c>
      <c r="N49">
        <v>1</v>
      </c>
      <c r="O49">
        <v>0.1</v>
      </c>
    </row>
    <row r="50" spans="1:15">
      <c r="A50" s="75" t="s">
        <v>101</v>
      </c>
      <c r="B50" t="str">
        <f t="shared" ref="B50" si="47">B49</f>
        <v>R12_CHN</v>
      </c>
      <c r="C50" t="s">
        <v>549</v>
      </c>
      <c r="D50" t="s">
        <v>29</v>
      </c>
      <c r="E50">
        <v>12.5</v>
      </c>
      <c r="F50">
        <v>1.25</v>
      </c>
      <c r="G50">
        <v>2015</v>
      </c>
      <c r="I50" s="38" t="s">
        <v>102</v>
      </c>
      <c r="J50" t="s">
        <v>103</v>
      </c>
      <c r="N50">
        <v>12.5</v>
      </c>
      <c r="O50">
        <v>1.25</v>
      </c>
    </row>
    <row r="51" spans="1:15" ht="15.75" thickBot="1">
      <c r="A51" s="77" t="s">
        <v>101</v>
      </c>
      <c r="B51" s="78" t="str">
        <f t="shared" ref="B51" si="48">B50</f>
        <v>R12_CHN</v>
      </c>
      <c r="C51" t="s">
        <v>549</v>
      </c>
      <c r="D51" s="78" t="s">
        <v>29</v>
      </c>
      <c r="E51">
        <v>14.5</v>
      </c>
      <c r="F51">
        <v>0.4</v>
      </c>
      <c r="G51">
        <v>2020</v>
      </c>
      <c r="I51" s="38" t="s">
        <v>104</v>
      </c>
      <c r="J51" t="s">
        <v>103</v>
      </c>
      <c r="N51">
        <v>14.5</v>
      </c>
      <c r="O51">
        <v>0.4</v>
      </c>
    </row>
    <row r="52" spans="1:15">
      <c r="A52" s="72" t="s">
        <v>10</v>
      </c>
      <c r="B52" s="73" t="s">
        <v>440</v>
      </c>
      <c r="C52" t="s">
        <v>549</v>
      </c>
      <c r="D52" s="73" t="s">
        <v>29</v>
      </c>
      <c r="E52" s="138">
        <v>0</v>
      </c>
      <c r="F52" s="138">
        <v>0</v>
      </c>
      <c r="G52">
        <v>2015</v>
      </c>
      <c r="I52" s="38" t="s">
        <v>281</v>
      </c>
      <c r="J52" t="s">
        <v>66</v>
      </c>
      <c r="K52" t="s">
        <v>282</v>
      </c>
      <c r="N52" s="138">
        <v>0</v>
      </c>
      <c r="O52" s="138">
        <v>0</v>
      </c>
    </row>
    <row r="53" spans="1:15">
      <c r="A53" s="75" t="str">
        <f t="shared" ref="A53:D53" si="49">A52</f>
        <v>mining_flotation_graphite</v>
      </c>
      <c r="B53" t="s">
        <v>440</v>
      </c>
      <c r="C53" t="s">
        <v>549</v>
      </c>
      <c r="D53" t="str">
        <f t="shared" si="49"/>
        <v>Mt</v>
      </c>
      <c r="E53" s="106">
        <v>0</v>
      </c>
      <c r="F53" s="106">
        <v>0</v>
      </c>
      <c r="G53">
        <v>2020</v>
      </c>
      <c r="I53" s="38" t="s">
        <v>277</v>
      </c>
      <c r="J53" t="s">
        <v>276</v>
      </c>
      <c r="K53" t="s">
        <v>280</v>
      </c>
      <c r="N53" s="106">
        <v>0</v>
      </c>
      <c r="O53" s="106">
        <v>0</v>
      </c>
    </row>
    <row r="54" spans="1:15">
      <c r="A54" s="75" t="s">
        <v>43</v>
      </c>
      <c r="B54" t="s">
        <v>440</v>
      </c>
      <c r="C54" t="s">
        <v>549</v>
      </c>
      <c r="D54" t="s">
        <v>29</v>
      </c>
      <c r="E54" s="106">
        <v>0</v>
      </c>
      <c r="F54" s="106">
        <v>0</v>
      </c>
      <c r="G54">
        <v>2015</v>
      </c>
      <c r="I54" s="38" t="s">
        <v>281</v>
      </c>
      <c r="N54" s="106">
        <v>0</v>
      </c>
      <c r="O54" s="106">
        <v>0</v>
      </c>
    </row>
    <row r="55" spans="1:15">
      <c r="A55" s="75" t="s">
        <v>43</v>
      </c>
      <c r="B55" t="s">
        <v>440</v>
      </c>
      <c r="C55" t="s">
        <v>549</v>
      </c>
      <c r="D55" t="s">
        <v>29</v>
      </c>
      <c r="E55" s="106">
        <v>0</v>
      </c>
      <c r="F55" s="106">
        <v>0</v>
      </c>
      <c r="G55">
        <v>2020</v>
      </c>
      <c r="I55" s="38" t="s">
        <v>277</v>
      </c>
      <c r="J55" t="s">
        <v>278</v>
      </c>
      <c r="N55" s="106">
        <v>0</v>
      </c>
      <c r="O55" s="106">
        <v>0</v>
      </c>
    </row>
    <row r="56" spans="1:15">
      <c r="A56" s="75" t="s">
        <v>61</v>
      </c>
      <c r="B56" t="s">
        <v>440</v>
      </c>
      <c r="C56" t="s">
        <v>549</v>
      </c>
      <c r="D56" t="s">
        <v>29</v>
      </c>
      <c r="E56" s="109">
        <v>0</v>
      </c>
      <c r="F56" s="109">
        <f>E56*0.1</f>
        <v>0</v>
      </c>
      <c r="G56">
        <v>2015</v>
      </c>
      <c r="N56" s="109">
        <v>5</v>
      </c>
      <c r="O56" s="109">
        <f>N56*0.1</f>
        <v>0.5</v>
      </c>
    </row>
    <row r="57" spans="1:15">
      <c r="A57" s="75" t="s">
        <v>62</v>
      </c>
      <c r="B57" t="s">
        <v>440</v>
      </c>
      <c r="C57" t="s">
        <v>549</v>
      </c>
      <c r="D57" t="s">
        <v>29</v>
      </c>
      <c r="E57" s="109">
        <v>0</v>
      </c>
      <c r="F57" s="109">
        <f>E57*0.1</f>
        <v>0</v>
      </c>
      <c r="G57">
        <v>2020</v>
      </c>
      <c r="N57" s="109">
        <v>1.5</v>
      </c>
      <c r="O57" s="109">
        <f>N57*0.1</f>
        <v>0.15000000000000002</v>
      </c>
    </row>
    <row r="58" spans="1:15">
      <c r="A58" s="75" t="s">
        <v>63</v>
      </c>
      <c r="B58" t="s">
        <v>440</v>
      </c>
      <c r="C58" t="s">
        <v>549</v>
      </c>
      <c r="D58" t="s">
        <v>29</v>
      </c>
      <c r="E58" s="109">
        <v>0</v>
      </c>
      <c r="F58" s="109">
        <v>0.03</v>
      </c>
      <c r="G58">
        <v>2015</v>
      </c>
      <c r="N58" s="109">
        <v>0.36</v>
      </c>
      <c r="O58" s="109">
        <v>0.03</v>
      </c>
    </row>
    <row r="59" spans="1:15">
      <c r="A59" s="75" t="s">
        <v>61</v>
      </c>
      <c r="B59" t="s">
        <v>440</v>
      </c>
      <c r="C59" t="s">
        <v>549</v>
      </c>
      <c r="D59" t="s">
        <v>29</v>
      </c>
      <c r="E59" s="109">
        <v>0</v>
      </c>
      <c r="F59" s="109">
        <f>E59*0.1</f>
        <v>0</v>
      </c>
      <c r="G59">
        <v>2020</v>
      </c>
      <c r="N59" s="109">
        <v>7</v>
      </c>
      <c r="O59" s="109">
        <f>N59*0.1</f>
        <v>0.70000000000000007</v>
      </c>
    </row>
    <row r="60" spans="1:15">
      <c r="A60" s="75" t="s">
        <v>62</v>
      </c>
      <c r="B60" t="s">
        <v>440</v>
      </c>
      <c r="C60" t="s">
        <v>549</v>
      </c>
      <c r="D60" t="s">
        <v>29</v>
      </c>
      <c r="E60" s="109">
        <v>0</v>
      </c>
      <c r="F60" s="109">
        <f>(E60-E57)/5</f>
        <v>0</v>
      </c>
      <c r="G60">
        <v>2015</v>
      </c>
      <c r="N60" s="109">
        <v>2</v>
      </c>
      <c r="O60" s="109">
        <f>(N60-N57)/5</f>
        <v>0.1</v>
      </c>
    </row>
    <row r="61" spans="1:15">
      <c r="A61" s="75" t="s">
        <v>63</v>
      </c>
      <c r="B61" t="s">
        <v>440</v>
      </c>
      <c r="C61" t="s">
        <v>549</v>
      </c>
      <c r="D61" t="s">
        <v>29</v>
      </c>
      <c r="E61" s="109">
        <v>0</v>
      </c>
      <c r="F61" s="109">
        <v>0.05</v>
      </c>
      <c r="G61">
        <v>2020</v>
      </c>
      <c r="N61" s="109">
        <v>0.9</v>
      </c>
      <c r="O61" s="109">
        <v>0.05</v>
      </c>
    </row>
    <row r="62" spans="1:15">
      <c r="A62" s="75" t="s">
        <v>64</v>
      </c>
      <c r="B62" t="s">
        <v>440</v>
      </c>
      <c r="C62" t="s">
        <v>549</v>
      </c>
      <c r="D62" t="s">
        <v>29</v>
      </c>
      <c r="E62">
        <v>0</v>
      </c>
      <c r="F62">
        <f>E62*0.1</f>
        <v>0</v>
      </c>
      <c r="G62">
        <v>2015</v>
      </c>
      <c r="N62">
        <v>6.2E-2</v>
      </c>
      <c r="O62">
        <f>N62*0.1</f>
        <v>6.2000000000000006E-3</v>
      </c>
    </row>
    <row r="63" spans="1:15">
      <c r="A63" s="75" t="s">
        <v>67</v>
      </c>
      <c r="B63" t="s">
        <v>440</v>
      </c>
      <c r="C63" t="s">
        <v>549</v>
      </c>
      <c r="D63" t="s">
        <v>29</v>
      </c>
      <c r="E63">
        <v>0</v>
      </c>
      <c r="F63">
        <v>0</v>
      </c>
      <c r="G63">
        <v>2020</v>
      </c>
      <c r="N63">
        <v>0</v>
      </c>
      <c r="O63">
        <v>0</v>
      </c>
    </row>
    <row r="64" spans="1:15">
      <c r="A64" s="75" t="s">
        <v>68</v>
      </c>
      <c r="B64" t="s">
        <v>440</v>
      </c>
      <c r="C64" t="s">
        <v>549</v>
      </c>
      <c r="D64" t="s">
        <v>29</v>
      </c>
      <c r="E64">
        <v>0</v>
      </c>
      <c r="F64">
        <f>E64*0.1</f>
        <v>0</v>
      </c>
      <c r="G64">
        <v>2015</v>
      </c>
      <c r="N64">
        <v>0.1</v>
      </c>
      <c r="O64">
        <f>N64*0.1</f>
        <v>1.0000000000000002E-2</v>
      </c>
    </row>
    <row r="65" spans="1:15">
      <c r="A65" s="75" t="s">
        <v>64</v>
      </c>
      <c r="B65" t="s">
        <v>440</v>
      </c>
      <c r="C65" t="s">
        <v>549</v>
      </c>
      <c r="D65" t="s">
        <v>29</v>
      </c>
      <c r="E65">
        <v>0</v>
      </c>
      <c r="F65">
        <f>(E65-E62)/5</f>
        <v>0</v>
      </c>
      <c r="G65">
        <v>2020</v>
      </c>
      <c r="N65">
        <f>0.0141+0.055</f>
        <v>6.9099999999999995E-2</v>
      </c>
      <c r="O65">
        <f>(N65-N62)/5</f>
        <v>1.419999999999999E-3</v>
      </c>
    </row>
    <row r="66" spans="1:15">
      <c r="A66" s="75" t="s">
        <v>67</v>
      </c>
      <c r="B66" t="s">
        <v>440</v>
      </c>
      <c r="C66" t="s">
        <v>549</v>
      </c>
      <c r="D66" t="s">
        <v>29</v>
      </c>
      <c r="E66">
        <v>0</v>
      </c>
      <c r="F66">
        <f>(E66-E64)/5</f>
        <v>0</v>
      </c>
      <c r="G66">
        <v>2015</v>
      </c>
      <c r="N66">
        <v>0.14000000000000001</v>
      </c>
      <c r="O66">
        <f>(N66-N64)/5</f>
        <v>8.0000000000000019E-3</v>
      </c>
    </row>
    <row r="67" spans="1:15">
      <c r="A67" s="75" t="s">
        <v>68</v>
      </c>
      <c r="B67" t="s">
        <v>440</v>
      </c>
      <c r="C67" t="s">
        <v>549</v>
      </c>
      <c r="D67" t="s">
        <v>29</v>
      </c>
      <c r="E67">
        <v>0</v>
      </c>
      <c r="F67">
        <v>0</v>
      </c>
      <c r="G67">
        <v>2020</v>
      </c>
      <c r="N67">
        <v>0</v>
      </c>
      <c r="O67">
        <v>0</v>
      </c>
    </row>
    <row r="68" spans="1:15">
      <c r="A68" s="75" t="s">
        <v>71</v>
      </c>
      <c r="B68" t="s">
        <v>440</v>
      </c>
      <c r="C68" t="s">
        <v>549</v>
      </c>
      <c r="D68" t="s">
        <v>29</v>
      </c>
      <c r="E68">
        <f>Calculations_caps!J12</f>
        <v>0.40734899999999996</v>
      </c>
      <c r="F68">
        <f>E68*0.1</f>
        <v>4.0734899999999997E-2</v>
      </c>
      <c r="G68">
        <v>2015</v>
      </c>
      <c r="N68">
        <f>0.295+0.021</f>
        <v>0.316</v>
      </c>
      <c r="O68">
        <f>N68*0.1</f>
        <v>3.1600000000000003E-2</v>
      </c>
    </row>
    <row r="69" spans="1:15">
      <c r="A69" s="75" t="s">
        <v>71</v>
      </c>
      <c r="B69" t="s">
        <v>440</v>
      </c>
      <c r="C69" t="s">
        <v>549</v>
      </c>
      <c r="D69" t="s">
        <v>29</v>
      </c>
      <c r="E69">
        <f>Calculations_caps!J4</f>
        <v>1.146933</v>
      </c>
      <c r="F69">
        <f>(E69-E68)/5</f>
        <v>0.14791680000000001</v>
      </c>
      <c r="G69">
        <v>2020</v>
      </c>
      <c r="N69">
        <v>0.49</v>
      </c>
      <c r="O69">
        <f>(N69-N68)/5</f>
        <v>3.4799999999999998E-2</v>
      </c>
    </row>
    <row r="70" spans="1:15">
      <c r="A70" s="75" t="s">
        <v>72</v>
      </c>
      <c r="B70" t="s">
        <v>440</v>
      </c>
      <c r="C70" t="s">
        <v>549</v>
      </c>
      <c r="D70" t="s">
        <v>29</v>
      </c>
      <c r="E70" s="80">
        <f>Calculations_caps!K12</f>
        <v>9.0521999999999991E-2</v>
      </c>
      <c r="F70" s="80">
        <f>E70*0.1</f>
        <v>9.0521999999999998E-3</v>
      </c>
      <c r="G70">
        <v>2015</v>
      </c>
      <c r="N70" s="80">
        <v>0.06</v>
      </c>
      <c r="O70" s="80">
        <f>N70*0.1</f>
        <v>6.0000000000000001E-3</v>
      </c>
    </row>
    <row r="71" spans="1:15">
      <c r="A71" s="75" t="s">
        <v>72</v>
      </c>
      <c r="B71" t="s">
        <v>440</v>
      </c>
      <c r="C71" t="s">
        <v>549</v>
      </c>
      <c r="D71" t="s">
        <v>29</v>
      </c>
      <c r="E71" s="80">
        <f>Calculations_caps!K4</f>
        <v>0.25487399999999999</v>
      </c>
      <c r="F71" s="80">
        <f>(E71-E70)/5</f>
        <v>3.2870400000000001E-2</v>
      </c>
      <c r="G71">
        <v>2020</v>
      </c>
      <c r="N71" s="80">
        <v>0.17299999999999999</v>
      </c>
      <c r="O71" s="80">
        <f>(N71-N70)/5</f>
        <v>2.2599999999999999E-2</v>
      </c>
    </row>
    <row r="72" spans="1:15">
      <c r="A72" s="75" t="s">
        <v>73</v>
      </c>
      <c r="B72" t="s">
        <v>440</v>
      </c>
      <c r="C72" t="s">
        <v>549</v>
      </c>
      <c r="D72" t="s">
        <v>29</v>
      </c>
      <c r="E72" s="108">
        <f>Calculations_caps!D27</f>
        <v>2.1</v>
      </c>
      <c r="F72" s="108">
        <f>0</f>
        <v>0</v>
      </c>
      <c r="G72">
        <v>2015</v>
      </c>
      <c r="N72" s="108">
        <f>4345/0.6344/1000000</f>
        <v>6.8489911727616648E-3</v>
      </c>
      <c r="O72" s="108">
        <f>0</f>
        <v>0</v>
      </c>
    </row>
    <row r="73" spans="1:15">
      <c r="A73" s="75" t="s">
        <v>73</v>
      </c>
      <c r="B73" t="s">
        <v>440</v>
      </c>
      <c r="C73" t="s">
        <v>549</v>
      </c>
      <c r="D73" t="s">
        <v>29</v>
      </c>
      <c r="E73" s="108">
        <f>Calculations_caps!D19</f>
        <v>1.9704999999999999</v>
      </c>
      <c r="F73" s="108">
        <v>0</v>
      </c>
      <c r="G73">
        <v>2020</v>
      </c>
      <c r="N73" s="108">
        <f>5721/0.6344/1000000</f>
        <v>9.017969735182851E-3</v>
      </c>
      <c r="O73" s="108">
        <f>(N73-N72)/5</f>
        <v>4.3379571248423725E-4</v>
      </c>
    </row>
    <row r="74" spans="1:15">
      <c r="A74" s="75" t="s">
        <v>75</v>
      </c>
      <c r="B74" t="s">
        <v>440</v>
      </c>
      <c r="C74" t="s">
        <v>549</v>
      </c>
      <c r="D74" t="s">
        <v>29</v>
      </c>
      <c r="E74" s="168">
        <v>0</v>
      </c>
      <c r="F74" s="108">
        <f>E74*0.1</f>
        <v>0</v>
      </c>
      <c r="G74">
        <v>2015</v>
      </c>
      <c r="N74" s="108">
        <v>0</v>
      </c>
      <c r="O74" s="108">
        <f>N74*0.1</f>
        <v>0</v>
      </c>
    </row>
    <row r="75" spans="1:15">
      <c r="A75" s="75" t="s">
        <v>75</v>
      </c>
      <c r="B75" t="s">
        <v>440</v>
      </c>
      <c r="C75" t="s">
        <v>549</v>
      </c>
      <c r="D75" t="s">
        <v>29</v>
      </c>
      <c r="E75" s="168">
        <v>0</v>
      </c>
      <c r="F75" s="108">
        <v>0</v>
      </c>
      <c r="G75">
        <v>2020</v>
      </c>
      <c r="N75" s="108">
        <v>0</v>
      </c>
      <c r="O75" s="108">
        <v>0</v>
      </c>
    </row>
    <row r="76" spans="1:15">
      <c r="A76" s="75" t="s">
        <v>79</v>
      </c>
      <c r="B76" t="s">
        <v>440</v>
      </c>
      <c r="C76" t="s">
        <v>549</v>
      </c>
      <c r="D76" t="s">
        <v>29</v>
      </c>
      <c r="E76" s="107">
        <v>0</v>
      </c>
      <c r="F76" s="107">
        <v>0</v>
      </c>
      <c r="G76">
        <v>2015</v>
      </c>
      <c r="N76" s="107">
        <v>0</v>
      </c>
      <c r="O76" s="107">
        <v>0</v>
      </c>
    </row>
    <row r="77" spans="1:15">
      <c r="A77" s="75" t="s">
        <v>79</v>
      </c>
      <c r="B77" t="s">
        <v>440</v>
      </c>
      <c r="C77" t="s">
        <v>549</v>
      </c>
      <c r="D77" t="s">
        <v>29</v>
      </c>
      <c r="E77" s="107">
        <v>0</v>
      </c>
      <c r="F77" s="107">
        <v>0</v>
      </c>
      <c r="G77">
        <v>2020</v>
      </c>
      <c r="N77" s="107">
        <v>0</v>
      </c>
      <c r="O77" s="107">
        <v>0</v>
      </c>
    </row>
    <row r="78" spans="1:15">
      <c r="A78" s="75" t="s">
        <v>80</v>
      </c>
      <c r="B78" t="s">
        <v>440</v>
      </c>
      <c r="C78" t="s">
        <v>549</v>
      </c>
      <c r="D78" t="s">
        <v>29</v>
      </c>
      <c r="E78" s="107">
        <v>0</v>
      </c>
      <c r="F78" s="107">
        <v>0</v>
      </c>
      <c r="G78">
        <v>2015</v>
      </c>
      <c r="I78" t="s">
        <v>284</v>
      </c>
      <c r="N78" s="107">
        <v>0</v>
      </c>
      <c r="O78" s="107">
        <v>0</v>
      </c>
    </row>
    <row r="79" spans="1:15">
      <c r="A79" s="75" t="s">
        <v>80</v>
      </c>
      <c r="B79" t="s">
        <v>440</v>
      </c>
      <c r="C79" t="s">
        <v>549</v>
      </c>
      <c r="D79" t="s">
        <v>29</v>
      </c>
      <c r="E79" s="107">
        <v>0</v>
      </c>
      <c r="F79" s="107">
        <v>0</v>
      </c>
      <c r="G79">
        <v>2020</v>
      </c>
      <c r="I79" t="s">
        <v>285</v>
      </c>
      <c r="N79" s="107">
        <v>0</v>
      </c>
      <c r="O79" s="107">
        <v>0</v>
      </c>
    </row>
    <row r="80" spans="1:15">
      <c r="A80" s="75" t="s">
        <v>81</v>
      </c>
      <c r="B80" t="s">
        <v>440</v>
      </c>
      <c r="C80" t="s">
        <v>549</v>
      </c>
      <c r="D80" t="s">
        <v>29</v>
      </c>
      <c r="E80" s="13">
        <v>0</v>
      </c>
      <c r="F80" s="56">
        <f>E80*0.1</f>
        <v>0</v>
      </c>
      <c r="G80">
        <v>2015</v>
      </c>
      <c r="N80" s="13">
        <v>4.8943E-2</v>
      </c>
      <c r="O80" s="56">
        <f>N80*0.1</f>
        <v>4.8943000000000007E-3</v>
      </c>
    </row>
    <row r="81" spans="1:15">
      <c r="A81" s="75" t="s">
        <v>81</v>
      </c>
      <c r="B81" t="s">
        <v>440</v>
      </c>
      <c r="C81" t="s">
        <v>549</v>
      </c>
      <c r="D81" t="s">
        <v>29</v>
      </c>
      <c r="E81" s="13">
        <v>0</v>
      </c>
      <c r="F81" s="56">
        <f>(E81-E80)/5</f>
        <v>0</v>
      </c>
      <c r="G81">
        <v>2020</v>
      </c>
      <c r="N81" s="13">
        <v>6.4276E-2</v>
      </c>
      <c r="O81" s="56">
        <f>(N81-N80)/5</f>
        <v>3.0666000000000001E-3</v>
      </c>
    </row>
    <row r="82" spans="1:15">
      <c r="A82" s="75" t="s">
        <v>86</v>
      </c>
      <c r="B82" t="s">
        <v>440</v>
      </c>
      <c r="C82" t="s">
        <v>549</v>
      </c>
      <c r="D82" t="s">
        <v>29</v>
      </c>
      <c r="E82">
        <v>0.03</v>
      </c>
      <c r="F82">
        <f>E82*0.1</f>
        <v>3.0000000000000001E-3</v>
      </c>
      <c r="G82">
        <v>2015</v>
      </c>
    </row>
    <row r="83" spans="1:15">
      <c r="A83" s="75" t="s">
        <v>86</v>
      </c>
      <c r="B83" t="s">
        <v>440</v>
      </c>
      <c r="C83" t="s">
        <v>549</v>
      </c>
      <c r="D83" t="s">
        <v>29</v>
      </c>
      <c r="E83">
        <v>2.5000000000000001E-2</v>
      </c>
      <c r="F83">
        <v>0</v>
      </c>
      <c r="G83">
        <v>2020</v>
      </c>
    </row>
    <row r="84" spans="1:15">
      <c r="A84" s="75" t="s">
        <v>87</v>
      </c>
      <c r="B84" t="s">
        <v>440</v>
      </c>
      <c r="C84" t="s">
        <v>549</v>
      </c>
      <c r="D84" t="s">
        <v>29</v>
      </c>
      <c r="E84">
        <v>0</v>
      </c>
      <c r="F84">
        <f>E84*0.1</f>
        <v>0</v>
      </c>
      <c r="G84">
        <v>2015</v>
      </c>
      <c r="N84">
        <v>0</v>
      </c>
      <c r="O84">
        <f>N84*0.1</f>
        <v>0</v>
      </c>
    </row>
    <row r="85" spans="1:15">
      <c r="A85" s="75" t="s">
        <v>87</v>
      </c>
      <c r="B85" t="s">
        <v>440</v>
      </c>
      <c r="C85" t="s">
        <v>549</v>
      </c>
      <c r="D85" t="s">
        <v>29</v>
      </c>
      <c r="E85" s="80">
        <v>0</v>
      </c>
      <c r="F85">
        <f t="shared" ref="F85:F99" si="50">E85*0.1</f>
        <v>0</v>
      </c>
      <c r="G85">
        <v>2020</v>
      </c>
      <c r="N85" s="80">
        <v>0</v>
      </c>
      <c r="O85">
        <f t="shared" ref="O85:O99" si="51">N85*0.1</f>
        <v>0</v>
      </c>
    </row>
    <row r="86" spans="1:15">
      <c r="A86" s="75" t="s">
        <v>89</v>
      </c>
      <c r="B86" t="s">
        <v>440</v>
      </c>
      <c r="C86" t="s">
        <v>549</v>
      </c>
      <c r="D86" t="s">
        <v>29</v>
      </c>
      <c r="E86">
        <v>0</v>
      </c>
      <c r="F86">
        <f t="shared" si="50"/>
        <v>0</v>
      </c>
      <c r="G86">
        <v>2015</v>
      </c>
      <c r="N86">
        <v>0</v>
      </c>
      <c r="O86">
        <f t="shared" si="51"/>
        <v>0</v>
      </c>
    </row>
    <row r="87" spans="1:15">
      <c r="A87" s="75" t="s">
        <v>89</v>
      </c>
      <c r="B87" t="s">
        <v>440</v>
      </c>
      <c r="C87" t="s">
        <v>549</v>
      </c>
      <c r="D87" t="s">
        <v>29</v>
      </c>
      <c r="E87" s="80">
        <v>0</v>
      </c>
      <c r="F87">
        <f t="shared" si="50"/>
        <v>0</v>
      </c>
      <c r="G87">
        <v>2020</v>
      </c>
      <c r="N87" s="80">
        <v>0</v>
      </c>
      <c r="O87">
        <f t="shared" si="51"/>
        <v>0</v>
      </c>
    </row>
    <row r="88" spans="1:15">
      <c r="A88" s="75" t="s">
        <v>92</v>
      </c>
      <c r="B88" t="s">
        <v>440</v>
      </c>
      <c r="C88" t="s">
        <v>549</v>
      </c>
      <c r="D88" t="s">
        <v>29</v>
      </c>
      <c r="E88">
        <v>0</v>
      </c>
      <c r="F88">
        <f t="shared" si="50"/>
        <v>0</v>
      </c>
      <c r="G88">
        <v>2015</v>
      </c>
      <c r="N88">
        <v>0</v>
      </c>
      <c r="O88">
        <f t="shared" si="51"/>
        <v>0</v>
      </c>
    </row>
    <row r="89" spans="1:15">
      <c r="A89" s="75" t="s">
        <v>92</v>
      </c>
      <c r="B89" t="s">
        <v>440</v>
      </c>
      <c r="C89" t="s">
        <v>549</v>
      </c>
      <c r="D89" t="s">
        <v>29</v>
      </c>
      <c r="E89">
        <v>0</v>
      </c>
      <c r="F89">
        <f t="shared" si="50"/>
        <v>0</v>
      </c>
      <c r="G89">
        <v>2020</v>
      </c>
      <c r="N89">
        <v>0</v>
      </c>
      <c r="O89">
        <f t="shared" si="51"/>
        <v>0</v>
      </c>
    </row>
    <row r="90" spans="1:15">
      <c r="A90" s="75" t="s">
        <v>95</v>
      </c>
      <c r="B90" t="s">
        <v>440</v>
      </c>
      <c r="C90" t="s">
        <v>549</v>
      </c>
      <c r="D90" t="s">
        <v>29</v>
      </c>
      <c r="E90">
        <v>0</v>
      </c>
      <c r="F90">
        <f t="shared" si="50"/>
        <v>0</v>
      </c>
      <c r="G90">
        <v>2015</v>
      </c>
      <c r="N90">
        <v>0</v>
      </c>
      <c r="O90">
        <f t="shared" si="51"/>
        <v>0</v>
      </c>
    </row>
    <row r="91" spans="1:15">
      <c r="A91" s="75" t="s">
        <v>95</v>
      </c>
      <c r="B91" t="s">
        <v>440</v>
      </c>
      <c r="C91" t="s">
        <v>549</v>
      </c>
      <c r="D91" t="s">
        <v>29</v>
      </c>
      <c r="E91">
        <v>0</v>
      </c>
      <c r="F91">
        <f t="shared" si="50"/>
        <v>0</v>
      </c>
      <c r="G91">
        <v>2020</v>
      </c>
      <c r="N91">
        <v>0</v>
      </c>
      <c r="O91">
        <f t="shared" si="51"/>
        <v>0</v>
      </c>
    </row>
    <row r="92" spans="1:15">
      <c r="A92" s="75" t="s">
        <v>97</v>
      </c>
      <c r="B92" t="s">
        <v>440</v>
      </c>
      <c r="C92" t="s">
        <v>549</v>
      </c>
      <c r="D92" t="s">
        <v>29</v>
      </c>
      <c r="E92">
        <v>0</v>
      </c>
      <c r="F92">
        <f t="shared" si="50"/>
        <v>0</v>
      </c>
      <c r="G92">
        <v>2015</v>
      </c>
      <c r="N92">
        <v>0</v>
      </c>
      <c r="O92">
        <f t="shared" si="51"/>
        <v>0</v>
      </c>
    </row>
    <row r="93" spans="1:15">
      <c r="A93" s="75" t="s">
        <v>97</v>
      </c>
      <c r="B93" t="s">
        <v>440</v>
      </c>
      <c r="C93" t="s">
        <v>549</v>
      </c>
      <c r="D93" t="s">
        <v>29</v>
      </c>
      <c r="E93">
        <v>0</v>
      </c>
      <c r="F93">
        <f t="shared" si="50"/>
        <v>0</v>
      </c>
      <c r="G93">
        <v>2020</v>
      </c>
      <c r="N93">
        <v>0</v>
      </c>
      <c r="O93">
        <f t="shared" si="51"/>
        <v>0</v>
      </c>
    </row>
    <row r="94" spans="1:15">
      <c r="A94" s="75" t="s">
        <v>98</v>
      </c>
      <c r="B94" t="s">
        <v>440</v>
      </c>
      <c r="C94" t="s">
        <v>549</v>
      </c>
      <c r="D94" t="s">
        <v>29</v>
      </c>
      <c r="E94">
        <v>0</v>
      </c>
      <c r="F94">
        <f t="shared" si="50"/>
        <v>0</v>
      </c>
      <c r="G94">
        <v>2015</v>
      </c>
      <c r="N94">
        <v>0</v>
      </c>
      <c r="O94">
        <f t="shared" si="51"/>
        <v>0</v>
      </c>
    </row>
    <row r="95" spans="1:15">
      <c r="A95" s="75" t="s">
        <v>98</v>
      </c>
      <c r="B95" t="s">
        <v>440</v>
      </c>
      <c r="C95" t="s">
        <v>549</v>
      </c>
      <c r="D95" t="s">
        <v>29</v>
      </c>
      <c r="E95">
        <v>0</v>
      </c>
      <c r="F95">
        <f t="shared" si="50"/>
        <v>0</v>
      </c>
      <c r="G95">
        <v>2020</v>
      </c>
      <c r="N95">
        <v>0</v>
      </c>
      <c r="O95">
        <f t="shared" si="51"/>
        <v>0</v>
      </c>
    </row>
    <row r="96" spans="1:15">
      <c r="A96" s="75" t="s">
        <v>99</v>
      </c>
      <c r="B96" t="s">
        <v>440</v>
      </c>
      <c r="C96" t="s">
        <v>549</v>
      </c>
      <c r="D96" t="s">
        <v>29</v>
      </c>
      <c r="E96">
        <v>0</v>
      </c>
      <c r="F96">
        <f t="shared" si="50"/>
        <v>0</v>
      </c>
      <c r="G96">
        <v>2015</v>
      </c>
      <c r="N96">
        <v>0</v>
      </c>
      <c r="O96">
        <f t="shared" si="51"/>
        <v>0</v>
      </c>
    </row>
    <row r="97" spans="1:15">
      <c r="A97" s="75" t="s">
        <v>99</v>
      </c>
      <c r="B97" t="s">
        <v>440</v>
      </c>
      <c r="C97" t="s">
        <v>549</v>
      </c>
      <c r="D97" t="s">
        <v>29</v>
      </c>
      <c r="E97">
        <v>0</v>
      </c>
      <c r="F97">
        <f t="shared" si="50"/>
        <v>0</v>
      </c>
      <c r="G97">
        <v>2020</v>
      </c>
      <c r="N97">
        <v>0</v>
      </c>
      <c r="O97">
        <f t="shared" si="51"/>
        <v>0</v>
      </c>
    </row>
    <row r="98" spans="1:15">
      <c r="A98" s="75" t="s">
        <v>100</v>
      </c>
      <c r="B98" t="s">
        <v>440</v>
      </c>
      <c r="C98" t="s">
        <v>549</v>
      </c>
      <c r="D98" t="s">
        <v>29</v>
      </c>
      <c r="E98">
        <v>0</v>
      </c>
      <c r="F98">
        <f t="shared" si="50"/>
        <v>0</v>
      </c>
      <c r="G98">
        <v>2015</v>
      </c>
      <c r="N98">
        <v>0</v>
      </c>
      <c r="O98">
        <f t="shared" si="51"/>
        <v>0</v>
      </c>
    </row>
    <row r="99" spans="1:15">
      <c r="A99" s="75" t="s">
        <v>100</v>
      </c>
      <c r="B99" t="s">
        <v>440</v>
      </c>
      <c r="C99" t="s">
        <v>549</v>
      </c>
      <c r="D99" t="s">
        <v>29</v>
      </c>
      <c r="E99">
        <v>0</v>
      </c>
      <c r="F99">
        <f t="shared" si="50"/>
        <v>0</v>
      </c>
      <c r="G99">
        <v>2020</v>
      </c>
      <c r="N99">
        <v>0</v>
      </c>
      <c r="O99">
        <f t="shared" si="51"/>
        <v>0</v>
      </c>
    </row>
    <row r="100" spans="1:15">
      <c r="A100" s="75" t="s">
        <v>101</v>
      </c>
      <c r="B100" t="str">
        <f>B99</f>
        <v>R12_PAO</v>
      </c>
      <c r="C100" t="s">
        <v>549</v>
      </c>
      <c r="D100" t="s">
        <v>29</v>
      </c>
      <c r="E100">
        <v>0</v>
      </c>
      <c r="F100">
        <f>E100*0.1</f>
        <v>0</v>
      </c>
      <c r="G100">
        <v>2015</v>
      </c>
      <c r="N100">
        <v>0</v>
      </c>
      <c r="O100">
        <f>N100*0.1</f>
        <v>0</v>
      </c>
    </row>
    <row r="101" spans="1:15" ht="15.75" thickBot="1">
      <c r="A101" s="77" t="s">
        <v>101</v>
      </c>
      <c r="B101" s="78" t="str">
        <f>B100</f>
        <v>R12_PAO</v>
      </c>
      <c r="C101" t="s">
        <v>549</v>
      </c>
      <c r="D101" s="78" t="s">
        <v>29</v>
      </c>
      <c r="E101" s="78">
        <v>0</v>
      </c>
      <c r="F101" s="78">
        <f>(E101-E100)/5</f>
        <v>0</v>
      </c>
      <c r="G101">
        <v>2020</v>
      </c>
      <c r="N101" s="78">
        <v>0</v>
      </c>
      <c r="O101" s="78">
        <f>(N101-N100)/5</f>
        <v>0</v>
      </c>
    </row>
    <row r="102" spans="1:15">
      <c r="A102" s="72" t="s">
        <v>10</v>
      </c>
      <c r="B102" s="73" t="s">
        <v>441</v>
      </c>
      <c r="C102" t="s">
        <v>549</v>
      </c>
      <c r="D102" s="73" t="s">
        <v>29</v>
      </c>
      <c r="E102" s="138">
        <f>Calculations_caps!D43</f>
        <v>0.29115239999999998</v>
      </c>
      <c r="F102" s="138">
        <f>F103*(E102/E103)</f>
        <v>4.394079165644172E-2</v>
      </c>
      <c r="G102">
        <v>2015</v>
      </c>
      <c r="I102" s="38" t="s">
        <v>281</v>
      </c>
      <c r="J102" t="s">
        <v>66</v>
      </c>
      <c r="K102" t="s">
        <v>282</v>
      </c>
      <c r="N102" s="138">
        <f>N104/0.06</f>
        <v>0.13</v>
      </c>
      <c r="O102" s="138">
        <f>(N104-(0.0035+0.0025))/0.06/2</f>
        <v>1.4999999999999996E-2</v>
      </c>
    </row>
    <row r="103" spans="1:15">
      <c r="A103" s="75" t="str">
        <f t="shared" ref="A103:D103" si="52">A102</f>
        <v>mining_flotation_graphite</v>
      </c>
      <c r="B103" t="str">
        <f>B102</f>
        <v>R12_AFR</v>
      </c>
      <c r="C103" t="s">
        <v>549</v>
      </c>
      <c r="D103" t="str">
        <f t="shared" si="52"/>
        <v>Mt</v>
      </c>
      <c r="E103" s="105">
        <f>Calculations_caps!D33</f>
        <v>1.1864460299999999</v>
      </c>
      <c r="F103" s="139">
        <f>(E103-E102)/5</f>
        <v>0.179058726</v>
      </c>
      <c r="G103">
        <v>2020</v>
      </c>
      <c r="I103" s="38" t="s">
        <v>277</v>
      </c>
      <c r="J103" t="s">
        <v>276</v>
      </c>
      <c r="K103" t="s">
        <v>280</v>
      </c>
      <c r="N103" s="105">
        <f>N105/0.06</f>
        <v>0.21833333333333335</v>
      </c>
      <c r="O103" s="139">
        <f>(N103-N102)/5</f>
        <v>1.7666666666666671E-2</v>
      </c>
    </row>
    <row r="104" spans="1:15">
      <c r="A104" s="75" t="s">
        <v>43</v>
      </c>
      <c r="B104" t="str">
        <f t="shared" ref="B104:B150" si="53">B103</f>
        <v>R12_AFR</v>
      </c>
      <c r="C104" t="s">
        <v>549</v>
      </c>
      <c r="D104" t="s">
        <v>29</v>
      </c>
      <c r="E104" s="106">
        <f>Calculations_caps!E43</f>
        <v>3.0359999999999998E-2</v>
      </c>
      <c r="F104" s="106">
        <f>F105*(E104/E105)</f>
        <v>4.5819386503067475E-3</v>
      </c>
      <c r="G104">
        <v>2015</v>
      </c>
      <c r="I104" s="38" t="s">
        <v>281</v>
      </c>
      <c r="N104" s="106">
        <f>0.0038+0.004</f>
        <v>7.7999999999999996E-3</v>
      </c>
      <c r="O104" s="106">
        <f>(N104-(0.0035+0.0025))/2</f>
        <v>8.9999999999999976E-4</v>
      </c>
    </row>
    <row r="105" spans="1:15">
      <c r="A105" s="75" t="s">
        <v>43</v>
      </c>
      <c r="B105" t="str">
        <f t="shared" si="53"/>
        <v>R12_AFR</v>
      </c>
      <c r="C105" t="s">
        <v>549</v>
      </c>
      <c r="D105" t="s">
        <v>29</v>
      </c>
      <c r="E105" s="106">
        <f>Calculations_caps!E33</f>
        <v>0.12371699999999999</v>
      </c>
      <c r="F105" s="106">
        <f>(E105-E104)/5</f>
        <v>1.8671399999999998E-2</v>
      </c>
      <c r="G105">
        <v>2020</v>
      </c>
      <c r="I105" s="38" t="s">
        <v>277</v>
      </c>
      <c r="J105" t="s">
        <v>278</v>
      </c>
      <c r="N105" s="106">
        <f>0.007+0.0061</f>
        <v>1.3100000000000001E-2</v>
      </c>
      <c r="O105" s="106">
        <f>(N105-N104)/5</f>
        <v>1.0600000000000002E-3</v>
      </c>
    </row>
    <row r="106" spans="1:15">
      <c r="A106" s="75" t="s">
        <v>61</v>
      </c>
      <c r="B106" t="str">
        <f t="shared" si="53"/>
        <v>R12_AFR</v>
      </c>
      <c r="C106" t="s">
        <v>549</v>
      </c>
      <c r="D106" t="s">
        <v>29</v>
      </c>
      <c r="E106" s="109">
        <v>0</v>
      </c>
      <c r="F106" s="109">
        <f>E106*0.1</f>
        <v>0</v>
      </c>
      <c r="G106">
        <v>2015</v>
      </c>
      <c r="N106" s="109">
        <v>5</v>
      </c>
      <c r="O106" s="109">
        <f>N106*0.1</f>
        <v>0.5</v>
      </c>
    </row>
    <row r="107" spans="1:15">
      <c r="A107" s="75" t="s">
        <v>62</v>
      </c>
      <c r="B107" t="str">
        <f t="shared" si="53"/>
        <v>R12_AFR</v>
      </c>
      <c r="C107" t="s">
        <v>549</v>
      </c>
      <c r="D107" t="s">
        <v>29</v>
      </c>
      <c r="E107" s="109">
        <v>0</v>
      </c>
      <c r="F107" s="109">
        <f>E107*0.1</f>
        <v>0</v>
      </c>
      <c r="G107">
        <v>2020</v>
      </c>
      <c r="N107" s="109">
        <v>1.5</v>
      </c>
      <c r="O107" s="109">
        <f>N107*0.1</f>
        <v>0.15000000000000002</v>
      </c>
    </row>
    <row r="108" spans="1:15">
      <c r="A108" s="75" t="s">
        <v>63</v>
      </c>
      <c r="B108" t="str">
        <f t="shared" si="53"/>
        <v>R12_AFR</v>
      </c>
      <c r="C108" t="s">
        <v>549</v>
      </c>
      <c r="D108" t="s">
        <v>29</v>
      </c>
      <c r="E108" s="109">
        <v>0</v>
      </c>
      <c r="F108" s="109">
        <v>0.03</v>
      </c>
      <c r="G108">
        <v>2015</v>
      </c>
      <c r="N108" s="109">
        <v>0.36</v>
      </c>
      <c r="O108" s="109">
        <v>0.03</v>
      </c>
    </row>
    <row r="109" spans="1:15">
      <c r="A109" s="75" t="s">
        <v>61</v>
      </c>
      <c r="B109" t="str">
        <f t="shared" si="53"/>
        <v>R12_AFR</v>
      </c>
      <c r="C109" t="s">
        <v>549</v>
      </c>
      <c r="D109" t="s">
        <v>29</v>
      </c>
      <c r="E109" s="109">
        <v>0</v>
      </c>
      <c r="F109" s="109">
        <f>E109*0.1</f>
        <v>0</v>
      </c>
      <c r="G109">
        <v>2020</v>
      </c>
      <c r="N109" s="109">
        <v>7</v>
      </c>
      <c r="O109" s="109">
        <f>N109*0.1</f>
        <v>0.70000000000000007</v>
      </c>
    </row>
    <row r="110" spans="1:15">
      <c r="A110" s="75" t="s">
        <v>62</v>
      </c>
      <c r="B110" t="str">
        <f t="shared" si="53"/>
        <v>R12_AFR</v>
      </c>
      <c r="C110" t="s">
        <v>549</v>
      </c>
      <c r="D110" t="s">
        <v>29</v>
      </c>
      <c r="E110" s="109">
        <v>0</v>
      </c>
      <c r="F110" s="109">
        <f>(E110-E107)/5</f>
        <v>0</v>
      </c>
      <c r="G110">
        <v>2015</v>
      </c>
      <c r="N110" s="109">
        <v>2</v>
      </c>
      <c r="O110" s="109">
        <f>(N110-N107)/5</f>
        <v>0.1</v>
      </c>
    </row>
    <row r="111" spans="1:15">
      <c r="A111" s="75" t="s">
        <v>63</v>
      </c>
      <c r="B111" t="str">
        <f t="shared" si="53"/>
        <v>R12_AFR</v>
      </c>
      <c r="C111" t="s">
        <v>549</v>
      </c>
      <c r="D111" t="s">
        <v>29</v>
      </c>
      <c r="E111" s="109">
        <v>0</v>
      </c>
      <c r="F111" s="109">
        <v>0.05</v>
      </c>
      <c r="G111">
        <v>2020</v>
      </c>
      <c r="N111" s="109">
        <v>0.9</v>
      </c>
      <c r="O111" s="109">
        <v>0.05</v>
      </c>
    </row>
    <row r="112" spans="1:15">
      <c r="A112" s="75" t="s">
        <v>64</v>
      </c>
      <c r="B112" t="str">
        <f t="shared" si="53"/>
        <v>R12_AFR</v>
      </c>
      <c r="C112" t="s">
        <v>549</v>
      </c>
      <c r="D112" t="s">
        <v>29</v>
      </c>
      <c r="E112">
        <v>0</v>
      </c>
      <c r="F112">
        <f>E112*0.1</f>
        <v>0</v>
      </c>
      <c r="G112">
        <v>2015</v>
      </c>
      <c r="N112">
        <v>6.2E-2</v>
      </c>
      <c r="O112">
        <f>N112*0.1</f>
        <v>6.2000000000000006E-3</v>
      </c>
    </row>
    <row r="113" spans="1:15">
      <c r="A113" s="75" t="s">
        <v>67</v>
      </c>
      <c r="B113" t="str">
        <f t="shared" si="53"/>
        <v>R12_AFR</v>
      </c>
      <c r="C113" t="s">
        <v>549</v>
      </c>
      <c r="D113" t="s">
        <v>29</v>
      </c>
      <c r="E113">
        <v>0</v>
      </c>
      <c r="F113">
        <v>0</v>
      </c>
      <c r="G113">
        <v>2020</v>
      </c>
      <c r="N113">
        <v>0</v>
      </c>
      <c r="O113">
        <v>0</v>
      </c>
    </row>
    <row r="114" spans="1:15">
      <c r="A114" s="75" t="s">
        <v>68</v>
      </c>
      <c r="B114" t="str">
        <f t="shared" si="53"/>
        <v>R12_AFR</v>
      </c>
      <c r="C114" t="s">
        <v>549</v>
      </c>
      <c r="D114" t="s">
        <v>29</v>
      </c>
      <c r="E114">
        <v>0</v>
      </c>
      <c r="F114">
        <f>E114*0.1</f>
        <v>0</v>
      </c>
      <c r="G114">
        <v>2015</v>
      </c>
      <c r="N114">
        <v>0.1</v>
      </c>
      <c r="O114">
        <f>N114*0.1</f>
        <v>1.0000000000000002E-2</v>
      </c>
    </row>
    <row r="115" spans="1:15">
      <c r="A115" s="75" t="s">
        <v>64</v>
      </c>
      <c r="B115" t="str">
        <f t="shared" si="53"/>
        <v>R12_AFR</v>
      </c>
      <c r="C115" t="s">
        <v>549</v>
      </c>
      <c r="D115" t="s">
        <v>29</v>
      </c>
      <c r="E115">
        <v>0</v>
      </c>
      <c r="F115">
        <f>(E115-E112)/5</f>
        <v>0</v>
      </c>
      <c r="G115">
        <v>2020</v>
      </c>
      <c r="N115">
        <f>0.0141+0.055</f>
        <v>6.9099999999999995E-2</v>
      </c>
      <c r="O115">
        <f>(N115-N112)/5</f>
        <v>1.419999999999999E-3</v>
      </c>
    </row>
    <row r="116" spans="1:15">
      <c r="A116" s="75" t="s">
        <v>67</v>
      </c>
      <c r="B116" t="str">
        <f t="shared" si="53"/>
        <v>R12_AFR</v>
      </c>
      <c r="C116" t="s">
        <v>549</v>
      </c>
      <c r="D116" t="s">
        <v>29</v>
      </c>
      <c r="E116">
        <v>0</v>
      </c>
      <c r="F116">
        <f>(E116-E114)/5</f>
        <v>0</v>
      </c>
      <c r="G116">
        <v>2015</v>
      </c>
      <c r="N116">
        <v>0.14000000000000001</v>
      </c>
      <c r="O116">
        <f>(N116-N114)/5</f>
        <v>8.0000000000000019E-3</v>
      </c>
    </row>
    <row r="117" spans="1:15">
      <c r="A117" s="75" t="s">
        <v>68</v>
      </c>
      <c r="B117" t="str">
        <f t="shared" si="53"/>
        <v>R12_AFR</v>
      </c>
      <c r="C117" t="s">
        <v>549</v>
      </c>
      <c r="D117" t="s">
        <v>29</v>
      </c>
      <c r="E117">
        <v>0</v>
      </c>
      <c r="F117">
        <v>0</v>
      </c>
      <c r="G117">
        <v>2020</v>
      </c>
      <c r="N117">
        <v>0</v>
      </c>
      <c r="O117">
        <v>0</v>
      </c>
    </row>
    <row r="118" spans="1:15">
      <c r="A118" s="75" t="s">
        <v>71</v>
      </c>
      <c r="B118" t="str">
        <f t="shared" si="53"/>
        <v>R12_AFR</v>
      </c>
      <c r="C118" t="s">
        <v>549</v>
      </c>
      <c r="D118" t="s">
        <v>29</v>
      </c>
      <c r="E118">
        <v>0</v>
      </c>
      <c r="F118">
        <f>E118*0.1</f>
        <v>0</v>
      </c>
      <c r="G118">
        <v>2015</v>
      </c>
      <c r="N118">
        <f>0.295+0.021</f>
        <v>0.316</v>
      </c>
      <c r="O118">
        <f>N118*0.1</f>
        <v>3.1600000000000003E-2</v>
      </c>
    </row>
    <row r="119" spans="1:15">
      <c r="A119" s="75" t="s">
        <v>71</v>
      </c>
      <c r="B119" t="str">
        <f t="shared" si="53"/>
        <v>R12_AFR</v>
      </c>
      <c r="C119" t="s">
        <v>549</v>
      </c>
      <c r="D119" t="s">
        <v>29</v>
      </c>
      <c r="E119">
        <v>0</v>
      </c>
      <c r="F119">
        <f>(E119-E118)/5</f>
        <v>0</v>
      </c>
      <c r="G119">
        <v>2020</v>
      </c>
      <c r="N119">
        <v>0.49</v>
      </c>
      <c r="O119">
        <f>(N119-N118)/5</f>
        <v>3.4799999999999998E-2</v>
      </c>
    </row>
    <row r="120" spans="1:15">
      <c r="A120" s="75" t="s">
        <v>72</v>
      </c>
      <c r="B120" t="str">
        <f t="shared" si="53"/>
        <v>R12_AFR</v>
      </c>
      <c r="C120" t="s">
        <v>549</v>
      </c>
      <c r="D120" t="s">
        <v>29</v>
      </c>
      <c r="E120" s="80">
        <v>0</v>
      </c>
      <c r="F120" s="80">
        <f>E120*0.1</f>
        <v>0</v>
      </c>
      <c r="G120">
        <v>2015</v>
      </c>
      <c r="N120" s="80">
        <v>0.06</v>
      </c>
      <c r="O120" s="80">
        <f>N120*0.1</f>
        <v>6.0000000000000001E-3</v>
      </c>
    </row>
    <row r="121" spans="1:15">
      <c r="A121" s="75" t="s">
        <v>72</v>
      </c>
      <c r="B121" t="str">
        <f t="shared" si="53"/>
        <v>R12_AFR</v>
      </c>
      <c r="C121" t="s">
        <v>549</v>
      </c>
      <c r="D121" t="s">
        <v>29</v>
      </c>
      <c r="E121" s="80">
        <v>0</v>
      </c>
      <c r="F121" s="80">
        <f>(E121-E120)/5</f>
        <v>0</v>
      </c>
      <c r="G121">
        <v>2020</v>
      </c>
      <c r="N121" s="80">
        <v>0.17299999999999999</v>
      </c>
      <c r="O121" s="80">
        <f>(N121-N120)/5</f>
        <v>2.2599999999999999E-2</v>
      </c>
    </row>
    <row r="122" spans="1:15">
      <c r="A122" s="75" t="s">
        <v>73</v>
      </c>
      <c r="B122" t="str">
        <f t="shared" si="53"/>
        <v>R12_AFR</v>
      </c>
      <c r="C122" t="s">
        <v>549</v>
      </c>
      <c r="D122" t="s">
        <v>29</v>
      </c>
      <c r="E122" s="107">
        <v>0</v>
      </c>
      <c r="F122" s="107">
        <v>0</v>
      </c>
      <c r="G122">
        <v>2015</v>
      </c>
      <c r="N122" s="107">
        <v>0</v>
      </c>
      <c r="O122" s="107">
        <v>0</v>
      </c>
    </row>
    <row r="123" spans="1:15">
      <c r="A123" s="75" t="s">
        <v>73</v>
      </c>
      <c r="B123" t="str">
        <f t="shared" si="53"/>
        <v>R12_AFR</v>
      </c>
      <c r="C123" t="s">
        <v>549</v>
      </c>
      <c r="D123" t="s">
        <v>29</v>
      </c>
      <c r="E123" s="107">
        <v>0</v>
      </c>
      <c r="F123" s="107">
        <v>0</v>
      </c>
      <c r="G123">
        <v>2020</v>
      </c>
      <c r="N123" s="107">
        <v>0</v>
      </c>
      <c r="O123" s="107">
        <v>0</v>
      </c>
    </row>
    <row r="124" spans="1:15">
      <c r="A124" s="75" t="s">
        <v>75</v>
      </c>
      <c r="B124" t="str">
        <f t="shared" si="53"/>
        <v>R12_AFR</v>
      </c>
      <c r="C124" t="s">
        <v>549</v>
      </c>
      <c r="D124" t="s">
        <v>29</v>
      </c>
      <c r="E124" s="168">
        <v>0</v>
      </c>
      <c r="F124" s="108">
        <v>0</v>
      </c>
      <c r="G124">
        <v>2015</v>
      </c>
      <c r="N124" s="108">
        <v>0</v>
      </c>
      <c r="O124" s="108">
        <v>0</v>
      </c>
    </row>
    <row r="125" spans="1:15">
      <c r="A125" s="75" t="s">
        <v>75</v>
      </c>
      <c r="B125" t="str">
        <f t="shared" si="53"/>
        <v>R12_AFR</v>
      </c>
      <c r="C125" t="s">
        <v>549</v>
      </c>
      <c r="D125" t="s">
        <v>29</v>
      </c>
      <c r="E125" s="140">
        <f>5300/0.37/1000000</f>
        <v>1.4324324324324325E-2</v>
      </c>
      <c r="F125" s="108">
        <f>(E125-E124)/5</f>
        <v>2.864864864864865E-3</v>
      </c>
      <c r="G125">
        <v>2020</v>
      </c>
      <c r="I125" s="38" t="s">
        <v>289</v>
      </c>
      <c r="N125" s="108">
        <f>5300/0.37/1000000</f>
        <v>1.4324324324324325E-2</v>
      </c>
      <c r="O125" s="108">
        <f>(N125-N124)/5</f>
        <v>2.864864864864865E-3</v>
      </c>
    </row>
    <row r="126" spans="1:15">
      <c r="A126" s="75" t="s">
        <v>79</v>
      </c>
      <c r="B126" t="str">
        <f t="shared" si="53"/>
        <v>R12_AFR</v>
      </c>
      <c r="C126" t="s">
        <v>549</v>
      </c>
      <c r="D126" t="s">
        <v>29</v>
      </c>
      <c r="E126" s="107">
        <f>Calculations_caps!J26</f>
        <v>22.070815200000002</v>
      </c>
      <c r="F126" s="107">
        <f>F127*(E126/E127)</f>
        <v>1.5764867999999996</v>
      </c>
      <c r="G126">
        <v>2015</v>
      </c>
      <c r="I126" t="s">
        <v>442</v>
      </c>
      <c r="N126" s="107">
        <v>1.0429999999999999</v>
      </c>
      <c r="O126" s="107">
        <v>0</v>
      </c>
    </row>
    <row r="127" spans="1:15">
      <c r="A127" s="75" t="s">
        <v>79</v>
      </c>
      <c r="B127" t="str">
        <f t="shared" si="53"/>
        <v>R12_AFR</v>
      </c>
      <c r="C127" t="s">
        <v>549</v>
      </c>
      <c r="D127" t="s">
        <v>29</v>
      </c>
      <c r="E127" s="107">
        <f>Calculations_caps!J18</f>
        <v>34.332379199999998</v>
      </c>
      <c r="F127" s="107">
        <f>(E127-E126)/5</f>
        <v>2.4523127999999992</v>
      </c>
      <c r="G127">
        <v>2020</v>
      </c>
      <c r="I127" t="s">
        <v>442</v>
      </c>
      <c r="N127" s="107">
        <v>1.7</v>
      </c>
      <c r="O127" s="107">
        <f>(N127-N126)/5</f>
        <v>0.13140000000000002</v>
      </c>
    </row>
    <row r="128" spans="1:15">
      <c r="A128" s="75" t="s">
        <v>80</v>
      </c>
      <c r="B128" t="str">
        <f t="shared" si="53"/>
        <v>R12_AFR</v>
      </c>
      <c r="C128" t="s">
        <v>549</v>
      </c>
      <c r="D128" t="s">
        <v>29</v>
      </c>
      <c r="E128" s="140">
        <f>Calculations_caps!K26</f>
        <v>2.2226400000000002</v>
      </c>
      <c r="F128" s="140">
        <f>F129*(E128/E129)</f>
        <v>0.15876000000000001</v>
      </c>
      <c r="G128">
        <v>2015</v>
      </c>
      <c r="I128" t="s">
        <v>284</v>
      </c>
      <c r="N128" s="140">
        <f>9248/0.6344/1000000</f>
        <v>1.4577553593947037E-2</v>
      </c>
      <c r="O128" s="140">
        <f>(N128-4456/0.6344/1000000)/2</f>
        <v>3.7767969735182853E-3</v>
      </c>
    </row>
    <row r="129" spans="1:15">
      <c r="A129" s="75" t="s">
        <v>80</v>
      </c>
      <c r="B129" t="str">
        <f t="shared" si="53"/>
        <v>R12_AFR</v>
      </c>
      <c r="C129" t="s">
        <v>549</v>
      </c>
      <c r="D129" t="s">
        <v>29</v>
      </c>
      <c r="E129" s="140">
        <f>Calculations_caps!K18</f>
        <v>3.4574400000000001</v>
      </c>
      <c r="F129" s="107">
        <f>(E129-E128)/5</f>
        <v>0.24695999999999999</v>
      </c>
      <c r="G129">
        <v>2020</v>
      </c>
      <c r="I129" t="s">
        <v>285</v>
      </c>
      <c r="N129" s="140">
        <f>6200/0.6344/1000000</f>
        <v>9.7730138713745269E-3</v>
      </c>
      <c r="O129" s="107">
        <v>0</v>
      </c>
    </row>
    <row r="130" spans="1:15">
      <c r="A130" s="75" t="s">
        <v>81</v>
      </c>
      <c r="B130" t="str">
        <f t="shared" si="53"/>
        <v>R12_AFR</v>
      </c>
      <c r="C130" t="s">
        <v>549</v>
      </c>
      <c r="D130" t="s">
        <v>29</v>
      </c>
      <c r="E130" s="13">
        <v>0</v>
      </c>
      <c r="F130" s="56">
        <f>E130*0.1</f>
        <v>0</v>
      </c>
      <c r="G130">
        <v>2015</v>
      </c>
      <c r="N130" s="13">
        <v>4.8943E-2</v>
      </c>
      <c r="O130" s="56">
        <f>N130*0.1</f>
        <v>4.8943000000000007E-3</v>
      </c>
    </row>
    <row r="131" spans="1:15">
      <c r="A131" s="75" t="s">
        <v>81</v>
      </c>
      <c r="B131" t="str">
        <f t="shared" si="53"/>
        <v>R12_AFR</v>
      </c>
      <c r="C131" t="s">
        <v>549</v>
      </c>
      <c r="D131" t="s">
        <v>29</v>
      </c>
      <c r="E131" s="13">
        <v>0</v>
      </c>
      <c r="F131" s="56">
        <f>(E131-E130)/5</f>
        <v>0</v>
      </c>
      <c r="G131">
        <v>2020</v>
      </c>
      <c r="N131" s="13">
        <v>6.4276E-2</v>
      </c>
      <c r="O131" s="56">
        <f>(N131-N130)/5</f>
        <v>3.0666000000000001E-3</v>
      </c>
    </row>
    <row r="132" spans="1:15">
      <c r="A132" s="75" t="s">
        <v>86</v>
      </c>
      <c r="B132" t="str">
        <f t="shared" si="53"/>
        <v>R12_AFR</v>
      </c>
      <c r="C132" t="s">
        <v>549</v>
      </c>
      <c r="D132" t="s">
        <v>29</v>
      </c>
      <c r="E132">
        <v>1</v>
      </c>
      <c r="F132">
        <f>E132*0.1</f>
        <v>0.1</v>
      </c>
      <c r="G132">
        <v>2015</v>
      </c>
    </row>
    <row r="133" spans="1:15">
      <c r="A133" s="75" t="s">
        <v>86</v>
      </c>
      <c r="B133" t="str">
        <f t="shared" si="53"/>
        <v>R12_AFR</v>
      </c>
      <c r="C133" t="s">
        <v>549</v>
      </c>
      <c r="D133" t="s">
        <v>29</v>
      </c>
      <c r="E133">
        <v>1.4</v>
      </c>
      <c r="F133">
        <f>(E133-E132)/5</f>
        <v>7.9999999999999988E-2</v>
      </c>
      <c r="G133">
        <v>2020</v>
      </c>
    </row>
    <row r="134" spans="1:15">
      <c r="A134" s="75" t="s">
        <v>87</v>
      </c>
      <c r="B134" t="str">
        <f t="shared" si="53"/>
        <v>R12_AFR</v>
      </c>
      <c r="C134" t="s">
        <v>549</v>
      </c>
      <c r="D134" t="s">
        <v>29</v>
      </c>
      <c r="E134">
        <v>0</v>
      </c>
      <c r="F134">
        <f>E134*0.1</f>
        <v>0</v>
      </c>
      <c r="G134">
        <v>2015</v>
      </c>
      <c r="N134">
        <v>0</v>
      </c>
      <c r="O134">
        <f>N134*0.1</f>
        <v>0</v>
      </c>
    </row>
    <row r="135" spans="1:15">
      <c r="A135" s="75" t="s">
        <v>87</v>
      </c>
      <c r="B135" t="str">
        <f>B134</f>
        <v>R12_AFR</v>
      </c>
      <c r="C135" t="s">
        <v>549</v>
      </c>
      <c r="D135" t="s">
        <v>29</v>
      </c>
      <c r="E135" s="80">
        <v>0</v>
      </c>
      <c r="F135">
        <f t="shared" ref="F135:F149" si="54">E135*0.1</f>
        <v>0</v>
      </c>
      <c r="G135">
        <v>2020</v>
      </c>
      <c r="N135" s="80">
        <v>0</v>
      </c>
      <c r="O135">
        <f t="shared" ref="O135:O149" si="55">N135*0.1</f>
        <v>0</v>
      </c>
    </row>
    <row r="136" spans="1:15">
      <c r="A136" s="75" t="s">
        <v>89</v>
      </c>
      <c r="B136" t="str">
        <f t="shared" si="53"/>
        <v>R12_AFR</v>
      </c>
      <c r="C136" t="s">
        <v>549</v>
      </c>
      <c r="D136" t="s">
        <v>29</v>
      </c>
      <c r="E136">
        <v>0</v>
      </c>
      <c r="F136">
        <f t="shared" si="54"/>
        <v>0</v>
      </c>
      <c r="G136">
        <v>2015</v>
      </c>
      <c r="N136">
        <v>0</v>
      </c>
      <c r="O136">
        <f t="shared" si="55"/>
        <v>0</v>
      </c>
    </row>
    <row r="137" spans="1:15">
      <c r="A137" s="75" t="s">
        <v>89</v>
      </c>
      <c r="B137" t="str">
        <f t="shared" si="53"/>
        <v>R12_AFR</v>
      </c>
      <c r="C137" t="s">
        <v>549</v>
      </c>
      <c r="D137" t="s">
        <v>29</v>
      </c>
      <c r="E137" s="80">
        <v>0</v>
      </c>
      <c r="F137">
        <f t="shared" si="54"/>
        <v>0</v>
      </c>
      <c r="G137">
        <v>2020</v>
      </c>
      <c r="N137" s="80">
        <v>0</v>
      </c>
      <c r="O137">
        <f t="shared" si="55"/>
        <v>0</v>
      </c>
    </row>
    <row r="138" spans="1:15">
      <c r="A138" s="75" t="s">
        <v>92</v>
      </c>
      <c r="B138" t="str">
        <f t="shared" si="53"/>
        <v>R12_AFR</v>
      </c>
      <c r="C138" t="s">
        <v>549</v>
      </c>
      <c r="D138" t="s">
        <v>29</v>
      </c>
      <c r="E138">
        <v>0</v>
      </c>
      <c r="F138">
        <f t="shared" si="54"/>
        <v>0</v>
      </c>
      <c r="G138">
        <v>2015</v>
      </c>
      <c r="N138">
        <v>0</v>
      </c>
      <c r="O138">
        <f t="shared" si="55"/>
        <v>0</v>
      </c>
    </row>
    <row r="139" spans="1:15">
      <c r="A139" s="75" t="s">
        <v>92</v>
      </c>
      <c r="B139" t="str">
        <f t="shared" si="53"/>
        <v>R12_AFR</v>
      </c>
      <c r="C139" t="s">
        <v>549</v>
      </c>
      <c r="D139" t="s">
        <v>29</v>
      </c>
      <c r="E139">
        <v>0</v>
      </c>
      <c r="F139">
        <f t="shared" si="54"/>
        <v>0</v>
      </c>
      <c r="G139">
        <v>2020</v>
      </c>
      <c r="N139">
        <v>0</v>
      </c>
      <c r="O139">
        <f t="shared" si="55"/>
        <v>0</v>
      </c>
    </row>
    <row r="140" spans="1:15">
      <c r="A140" s="75" t="s">
        <v>95</v>
      </c>
      <c r="B140" t="str">
        <f t="shared" si="53"/>
        <v>R12_AFR</v>
      </c>
      <c r="C140" t="s">
        <v>549</v>
      </c>
      <c r="D140" t="s">
        <v>29</v>
      </c>
      <c r="E140">
        <v>0</v>
      </c>
      <c r="F140">
        <f t="shared" si="54"/>
        <v>0</v>
      </c>
      <c r="G140">
        <v>2015</v>
      </c>
      <c r="N140">
        <v>0</v>
      </c>
      <c r="O140">
        <f t="shared" si="55"/>
        <v>0</v>
      </c>
    </row>
    <row r="141" spans="1:15">
      <c r="A141" s="75" t="s">
        <v>95</v>
      </c>
      <c r="B141" t="str">
        <f t="shared" si="53"/>
        <v>R12_AFR</v>
      </c>
      <c r="C141" t="s">
        <v>549</v>
      </c>
      <c r="D141" t="s">
        <v>29</v>
      </c>
      <c r="E141">
        <v>0</v>
      </c>
      <c r="F141">
        <f t="shared" si="54"/>
        <v>0</v>
      </c>
      <c r="G141">
        <v>2020</v>
      </c>
      <c r="N141">
        <v>0</v>
      </c>
      <c r="O141">
        <f t="shared" si="55"/>
        <v>0</v>
      </c>
    </row>
    <row r="142" spans="1:15">
      <c r="A142" s="75" t="s">
        <v>97</v>
      </c>
      <c r="B142" t="str">
        <f t="shared" si="53"/>
        <v>R12_AFR</v>
      </c>
      <c r="C142" t="s">
        <v>549</v>
      </c>
      <c r="D142" t="s">
        <v>29</v>
      </c>
      <c r="E142">
        <v>0</v>
      </c>
      <c r="F142">
        <f t="shared" si="54"/>
        <v>0</v>
      </c>
      <c r="G142">
        <v>2015</v>
      </c>
      <c r="N142">
        <v>0</v>
      </c>
      <c r="O142">
        <f t="shared" si="55"/>
        <v>0</v>
      </c>
    </row>
    <row r="143" spans="1:15">
      <c r="A143" s="75" t="s">
        <v>97</v>
      </c>
      <c r="B143" t="str">
        <f t="shared" si="53"/>
        <v>R12_AFR</v>
      </c>
      <c r="C143" t="s">
        <v>549</v>
      </c>
      <c r="D143" t="s">
        <v>29</v>
      </c>
      <c r="E143">
        <v>0</v>
      </c>
      <c r="F143">
        <f t="shared" si="54"/>
        <v>0</v>
      </c>
      <c r="G143">
        <v>2020</v>
      </c>
      <c r="N143">
        <v>0</v>
      </c>
      <c r="O143">
        <f t="shared" si="55"/>
        <v>0</v>
      </c>
    </row>
    <row r="144" spans="1:15">
      <c r="A144" s="75" t="s">
        <v>98</v>
      </c>
      <c r="B144" t="str">
        <f t="shared" si="53"/>
        <v>R12_AFR</v>
      </c>
      <c r="C144" t="s">
        <v>549</v>
      </c>
      <c r="D144" t="s">
        <v>29</v>
      </c>
      <c r="E144">
        <v>0</v>
      </c>
      <c r="F144">
        <f t="shared" si="54"/>
        <v>0</v>
      </c>
      <c r="G144">
        <v>2015</v>
      </c>
      <c r="N144">
        <v>0</v>
      </c>
      <c r="O144">
        <f t="shared" si="55"/>
        <v>0</v>
      </c>
    </row>
    <row r="145" spans="1:15">
      <c r="A145" s="75" t="s">
        <v>98</v>
      </c>
      <c r="B145" t="str">
        <f t="shared" si="53"/>
        <v>R12_AFR</v>
      </c>
      <c r="C145" t="s">
        <v>549</v>
      </c>
      <c r="D145" t="s">
        <v>29</v>
      </c>
      <c r="E145">
        <v>0</v>
      </c>
      <c r="F145">
        <f t="shared" si="54"/>
        <v>0</v>
      </c>
      <c r="G145">
        <v>2020</v>
      </c>
      <c r="N145">
        <v>0</v>
      </c>
      <c r="O145">
        <f t="shared" si="55"/>
        <v>0</v>
      </c>
    </row>
    <row r="146" spans="1:15">
      <c r="A146" s="75" t="s">
        <v>99</v>
      </c>
      <c r="B146" t="str">
        <f t="shared" si="53"/>
        <v>R12_AFR</v>
      </c>
      <c r="C146" t="s">
        <v>549</v>
      </c>
      <c r="D146" t="s">
        <v>29</v>
      </c>
      <c r="E146">
        <v>0</v>
      </c>
      <c r="F146">
        <f t="shared" si="54"/>
        <v>0</v>
      </c>
      <c r="G146">
        <v>2015</v>
      </c>
      <c r="N146">
        <v>0</v>
      </c>
      <c r="O146">
        <f t="shared" si="55"/>
        <v>0</v>
      </c>
    </row>
    <row r="147" spans="1:15">
      <c r="A147" s="75" t="s">
        <v>99</v>
      </c>
      <c r="B147" t="str">
        <f t="shared" si="53"/>
        <v>R12_AFR</v>
      </c>
      <c r="C147" t="s">
        <v>549</v>
      </c>
      <c r="D147" t="s">
        <v>29</v>
      </c>
      <c r="E147">
        <v>0</v>
      </c>
      <c r="F147">
        <f t="shared" si="54"/>
        <v>0</v>
      </c>
      <c r="G147">
        <v>2020</v>
      </c>
      <c r="N147">
        <v>0</v>
      </c>
      <c r="O147">
        <f t="shared" si="55"/>
        <v>0</v>
      </c>
    </row>
    <row r="148" spans="1:15">
      <c r="A148" s="75" t="s">
        <v>100</v>
      </c>
      <c r="B148" t="str">
        <f t="shared" si="53"/>
        <v>R12_AFR</v>
      </c>
      <c r="C148" t="s">
        <v>549</v>
      </c>
      <c r="D148" t="s">
        <v>29</v>
      </c>
      <c r="E148">
        <v>0</v>
      </c>
      <c r="F148">
        <f t="shared" si="54"/>
        <v>0</v>
      </c>
      <c r="G148">
        <v>2015</v>
      </c>
      <c r="N148">
        <v>0</v>
      </c>
      <c r="O148">
        <f t="shared" si="55"/>
        <v>0</v>
      </c>
    </row>
    <row r="149" spans="1:15">
      <c r="A149" s="75" t="s">
        <v>100</v>
      </c>
      <c r="B149" t="str">
        <f t="shared" si="53"/>
        <v>R12_AFR</v>
      </c>
      <c r="C149" t="s">
        <v>549</v>
      </c>
      <c r="D149" t="s">
        <v>29</v>
      </c>
      <c r="E149">
        <v>0</v>
      </c>
      <c r="F149">
        <f t="shared" si="54"/>
        <v>0</v>
      </c>
      <c r="G149">
        <v>2020</v>
      </c>
      <c r="N149">
        <v>0</v>
      </c>
      <c r="O149">
        <f t="shared" si="55"/>
        <v>0</v>
      </c>
    </row>
    <row r="150" spans="1:15">
      <c r="A150" s="75" t="s">
        <v>101</v>
      </c>
      <c r="B150" t="str">
        <f t="shared" si="53"/>
        <v>R12_AFR</v>
      </c>
      <c r="C150" t="s">
        <v>549</v>
      </c>
      <c r="D150" t="s">
        <v>29</v>
      </c>
      <c r="E150">
        <v>0</v>
      </c>
      <c r="F150">
        <f>E150*0.1</f>
        <v>0</v>
      </c>
      <c r="G150">
        <v>2015</v>
      </c>
      <c r="N150">
        <v>0</v>
      </c>
      <c r="O150">
        <f>N150*0.1</f>
        <v>0</v>
      </c>
    </row>
    <row r="151" spans="1:15" ht="15.75" thickBot="1">
      <c r="A151" s="77" t="s">
        <v>101</v>
      </c>
      <c r="B151" s="78" t="str">
        <f>B150</f>
        <v>R12_AFR</v>
      </c>
      <c r="C151" t="s">
        <v>549</v>
      </c>
      <c r="D151" s="78" t="s">
        <v>29</v>
      </c>
      <c r="E151" s="78">
        <v>0</v>
      </c>
      <c r="F151" s="78">
        <f>(E151-E150)/5</f>
        <v>0</v>
      </c>
      <c r="G151">
        <v>2020</v>
      </c>
      <c r="N151" s="78">
        <v>0</v>
      </c>
      <c r="O151" s="78">
        <f>(N151-N150)/5</f>
        <v>0</v>
      </c>
    </row>
    <row r="152" spans="1:15">
      <c r="A152" s="72" t="s">
        <v>10</v>
      </c>
      <c r="B152" s="73" t="s">
        <v>443</v>
      </c>
      <c r="C152" t="s">
        <v>549</v>
      </c>
      <c r="D152" s="73" t="s">
        <v>29</v>
      </c>
      <c r="E152" s="138">
        <f>Calculations_caps!D47</f>
        <v>0.72788099999999989</v>
      </c>
      <c r="F152" s="141">
        <v>0</v>
      </c>
      <c r="G152">
        <v>2015</v>
      </c>
      <c r="I152" s="38" t="s">
        <v>281</v>
      </c>
      <c r="J152" t="s">
        <v>66</v>
      </c>
      <c r="K152" t="s">
        <v>282</v>
      </c>
      <c r="N152" s="138">
        <f>N154/0.06</f>
        <v>0.33333333333333337</v>
      </c>
      <c r="O152" s="141">
        <f>(0.005)/0.06/2</f>
        <v>4.1666666666666671E-2</v>
      </c>
    </row>
    <row r="153" spans="1:15">
      <c r="A153" s="75" t="str">
        <f t="shared" ref="A153" si="56">A152</f>
        <v>mining_flotation_graphite</v>
      </c>
      <c r="B153" t="str">
        <f>B152</f>
        <v>R12_NAM</v>
      </c>
      <c r="C153" t="s">
        <v>549</v>
      </c>
      <c r="D153" t="str">
        <f t="shared" ref="D153" si="57">D152</f>
        <v>Mt</v>
      </c>
      <c r="E153" s="106">
        <f>Calculations_caps!D37</f>
        <v>0.19410159999999999</v>
      </c>
      <c r="F153" s="139">
        <v>0</v>
      </c>
      <c r="G153">
        <v>2020</v>
      </c>
      <c r="I153" s="38" t="s">
        <v>277</v>
      </c>
      <c r="J153" t="s">
        <v>276</v>
      </c>
      <c r="K153" t="s">
        <v>280</v>
      </c>
      <c r="N153" s="106">
        <f>N155/0.06</f>
        <v>0.5</v>
      </c>
      <c r="O153" s="139">
        <f>(N153-N152)/5</f>
        <v>3.3333333333333326E-2</v>
      </c>
    </row>
    <row r="154" spans="1:15">
      <c r="A154" s="75" t="s">
        <v>43</v>
      </c>
      <c r="B154" t="str">
        <f t="shared" ref="B154:B200" si="58">B153</f>
        <v>R12_NAM</v>
      </c>
      <c r="C154" t="s">
        <v>549</v>
      </c>
      <c r="D154" t="s">
        <v>29</v>
      </c>
      <c r="E154" s="106">
        <f>Calculations_caps!E47</f>
        <v>7.5899999999999995E-2</v>
      </c>
      <c r="F154" s="106">
        <v>0</v>
      </c>
      <c r="G154">
        <v>2015</v>
      </c>
      <c r="I154" s="38" t="s">
        <v>281</v>
      </c>
      <c r="N154" s="106">
        <v>0.02</v>
      </c>
      <c r="O154" s="106">
        <f>(N154-0.015)/2</f>
        <v>2.5000000000000005E-3</v>
      </c>
    </row>
    <row r="155" spans="1:15">
      <c r="A155" s="75" t="s">
        <v>43</v>
      </c>
      <c r="B155" t="str">
        <f t="shared" si="58"/>
        <v>R12_NAM</v>
      </c>
      <c r="C155" t="s">
        <v>549</v>
      </c>
      <c r="D155" t="s">
        <v>29</v>
      </c>
      <c r="E155" s="106">
        <f>Calculations_caps!E37</f>
        <v>2.0239999999999998E-2</v>
      </c>
      <c r="F155" s="106">
        <v>0</v>
      </c>
      <c r="G155">
        <v>2020</v>
      </c>
      <c r="I155" s="38" t="s">
        <v>277</v>
      </c>
      <c r="J155" t="s">
        <v>278</v>
      </c>
      <c r="N155" s="106">
        <f>0.03</f>
        <v>0.03</v>
      </c>
      <c r="O155" s="106">
        <f>(N155-N154)/5</f>
        <v>1.9999999999999996E-3</v>
      </c>
    </row>
    <row r="156" spans="1:15">
      <c r="A156" s="75" t="s">
        <v>61</v>
      </c>
      <c r="B156" t="str">
        <f t="shared" si="58"/>
        <v>R12_NAM</v>
      </c>
      <c r="C156" t="s">
        <v>549</v>
      </c>
      <c r="D156" t="s">
        <v>29</v>
      </c>
      <c r="E156" s="109">
        <v>0</v>
      </c>
      <c r="F156" s="109">
        <v>0</v>
      </c>
      <c r="G156">
        <v>2015</v>
      </c>
      <c r="N156" s="109">
        <v>5</v>
      </c>
      <c r="O156" s="109">
        <f>N156*0.1</f>
        <v>0.5</v>
      </c>
    </row>
    <row r="157" spans="1:15">
      <c r="A157" s="75" t="s">
        <v>62</v>
      </c>
      <c r="B157" t="str">
        <f t="shared" si="58"/>
        <v>R12_NAM</v>
      </c>
      <c r="C157" t="s">
        <v>549</v>
      </c>
      <c r="D157" t="s">
        <v>29</v>
      </c>
      <c r="E157" s="109">
        <v>0</v>
      </c>
      <c r="F157" s="109">
        <f>E157*0.1</f>
        <v>0</v>
      </c>
      <c r="G157">
        <v>2020</v>
      </c>
      <c r="N157" s="109">
        <v>1.5</v>
      </c>
      <c r="O157" s="109">
        <f>N157*0.1</f>
        <v>0.15000000000000002</v>
      </c>
    </row>
    <row r="158" spans="1:15">
      <c r="A158" s="75" t="s">
        <v>63</v>
      </c>
      <c r="B158" t="str">
        <f t="shared" si="58"/>
        <v>R12_NAM</v>
      </c>
      <c r="C158" t="s">
        <v>549</v>
      </c>
      <c r="D158" t="s">
        <v>29</v>
      </c>
      <c r="E158" s="109">
        <v>0</v>
      </c>
      <c r="F158" s="109">
        <v>0.03</v>
      </c>
      <c r="G158">
        <v>2015</v>
      </c>
      <c r="N158" s="109">
        <v>0.36</v>
      </c>
      <c r="O158" s="109">
        <v>0.03</v>
      </c>
    </row>
    <row r="159" spans="1:15">
      <c r="A159" s="75" t="s">
        <v>61</v>
      </c>
      <c r="B159" t="str">
        <f t="shared" si="58"/>
        <v>R12_NAM</v>
      </c>
      <c r="C159" t="s">
        <v>549</v>
      </c>
      <c r="D159" t="s">
        <v>29</v>
      </c>
      <c r="E159" s="109">
        <v>0</v>
      </c>
      <c r="F159" s="109">
        <f>E159*0.1</f>
        <v>0</v>
      </c>
      <c r="G159">
        <v>2020</v>
      </c>
      <c r="N159" s="109">
        <v>7</v>
      </c>
      <c r="O159" s="109">
        <f>N159*0.1</f>
        <v>0.70000000000000007</v>
      </c>
    </row>
    <row r="160" spans="1:15">
      <c r="A160" s="75" t="s">
        <v>62</v>
      </c>
      <c r="B160" t="str">
        <f t="shared" si="58"/>
        <v>R12_NAM</v>
      </c>
      <c r="C160" t="s">
        <v>549</v>
      </c>
      <c r="D160" t="s">
        <v>29</v>
      </c>
      <c r="E160" s="109">
        <v>0</v>
      </c>
      <c r="F160" s="109">
        <f>(E160-E157)/5</f>
        <v>0</v>
      </c>
      <c r="G160">
        <v>2015</v>
      </c>
      <c r="N160" s="109">
        <v>2</v>
      </c>
      <c r="O160" s="109">
        <f>(N160-N157)/5</f>
        <v>0.1</v>
      </c>
    </row>
    <row r="161" spans="1:15">
      <c r="A161" s="75" t="s">
        <v>63</v>
      </c>
      <c r="B161" t="str">
        <f t="shared" si="58"/>
        <v>R12_NAM</v>
      </c>
      <c r="C161" t="s">
        <v>549</v>
      </c>
      <c r="D161" t="s">
        <v>29</v>
      </c>
      <c r="E161" s="109">
        <v>0</v>
      </c>
      <c r="F161" s="109">
        <v>0.05</v>
      </c>
      <c r="G161">
        <v>2020</v>
      </c>
      <c r="N161" s="109">
        <v>0.9</v>
      </c>
      <c r="O161" s="109">
        <v>0.05</v>
      </c>
    </row>
    <row r="162" spans="1:15">
      <c r="A162" s="75" t="s">
        <v>64</v>
      </c>
      <c r="B162" t="str">
        <f t="shared" si="58"/>
        <v>R12_NAM</v>
      </c>
      <c r="C162" t="s">
        <v>549</v>
      </c>
      <c r="D162" t="s">
        <v>29</v>
      </c>
      <c r="E162">
        <v>0</v>
      </c>
      <c r="F162">
        <f>E162*0.1</f>
        <v>0</v>
      </c>
      <c r="G162">
        <v>2015</v>
      </c>
      <c r="N162">
        <v>6.2E-2</v>
      </c>
      <c r="O162">
        <f>N162*0.1</f>
        <v>6.2000000000000006E-3</v>
      </c>
    </row>
    <row r="163" spans="1:15">
      <c r="A163" s="75" t="s">
        <v>67</v>
      </c>
      <c r="B163" t="str">
        <f t="shared" si="58"/>
        <v>R12_NAM</v>
      </c>
      <c r="C163" t="s">
        <v>549</v>
      </c>
      <c r="D163" t="s">
        <v>29</v>
      </c>
      <c r="E163">
        <v>0</v>
      </c>
      <c r="F163">
        <v>0</v>
      </c>
      <c r="G163">
        <v>2020</v>
      </c>
      <c r="N163">
        <v>0</v>
      </c>
      <c r="O163">
        <v>0</v>
      </c>
    </row>
    <row r="164" spans="1:15">
      <c r="A164" s="75" t="s">
        <v>68</v>
      </c>
      <c r="B164" t="str">
        <f t="shared" si="58"/>
        <v>R12_NAM</v>
      </c>
      <c r="C164" t="s">
        <v>549</v>
      </c>
      <c r="D164" t="s">
        <v>29</v>
      </c>
      <c r="E164">
        <v>0</v>
      </c>
      <c r="F164">
        <f>E164*0.1</f>
        <v>0</v>
      </c>
      <c r="G164">
        <v>2015</v>
      </c>
      <c r="N164">
        <v>0.1</v>
      </c>
      <c r="O164">
        <f>N164*0.1</f>
        <v>1.0000000000000002E-2</v>
      </c>
    </row>
    <row r="165" spans="1:15">
      <c r="A165" s="75" t="s">
        <v>64</v>
      </c>
      <c r="B165" t="str">
        <f t="shared" si="58"/>
        <v>R12_NAM</v>
      </c>
      <c r="C165" t="s">
        <v>549</v>
      </c>
      <c r="D165" t="s">
        <v>29</v>
      </c>
      <c r="E165">
        <v>0</v>
      </c>
      <c r="F165">
        <f>(E165-E162)/5</f>
        <v>0</v>
      </c>
      <c r="G165">
        <v>2020</v>
      </c>
      <c r="N165">
        <f>0.0141+0.055</f>
        <v>6.9099999999999995E-2</v>
      </c>
      <c r="O165">
        <f>(N165-N162)/5</f>
        <v>1.419999999999999E-3</v>
      </c>
    </row>
    <row r="166" spans="1:15">
      <c r="A166" s="75" t="s">
        <v>67</v>
      </c>
      <c r="B166" t="str">
        <f t="shared" si="58"/>
        <v>R12_NAM</v>
      </c>
      <c r="C166" t="s">
        <v>549</v>
      </c>
      <c r="D166" t="s">
        <v>29</v>
      </c>
      <c r="E166">
        <v>0</v>
      </c>
      <c r="F166">
        <f>(E166-E164)/5</f>
        <v>0</v>
      </c>
      <c r="G166">
        <v>2015</v>
      </c>
      <c r="N166">
        <v>0.14000000000000001</v>
      </c>
      <c r="O166">
        <f>(N166-N164)/5</f>
        <v>8.0000000000000019E-3</v>
      </c>
    </row>
    <row r="167" spans="1:15">
      <c r="A167" s="75" t="s">
        <v>68</v>
      </c>
      <c r="B167" t="str">
        <f t="shared" si="58"/>
        <v>R12_NAM</v>
      </c>
      <c r="C167" t="s">
        <v>549</v>
      </c>
      <c r="D167" t="s">
        <v>29</v>
      </c>
      <c r="E167">
        <v>0</v>
      </c>
      <c r="F167">
        <v>0</v>
      </c>
      <c r="G167">
        <v>2020</v>
      </c>
      <c r="N167">
        <v>0</v>
      </c>
      <c r="O167">
        <v>0</v>
      </c>
    </row>
    <row r="168" spans="1:15">
      <c r="A168" s="75" t="s">
        <v>71</v>
      </c>
      <c r="B168" t="str">
        <f t="shared" si="58"/>
        <v>R12_NAM</v>
      </c>
      <c r="C168" t="s">
        <v>549</v>
      </c>
      <c r="D168" t="s">
        <v>29</v>
      </c>
      <c r="E168">
        <v>0</v>
      </c>
      <c r="F168">
        <f>E168*0.1</f>
        <v>0</v>
      </c>
      <c r="G168">
        <v>2015</v>
      </c>
      <c r="N168">
        <f>0.295+0.021</f>
        <v>0.316</v>
      </c>
      <c r="O168">
        <f>N168*0.1</f>
        <v>3.1600000000000003E-2</v>
      </c>
    </row>
    <row r="169" spans="1:15">
      <c r="A169" s="75" t="s">
        <v>71</v>
      </c>
      <c r="B169" t="str">
        <f t="shared" si="58"/>
        <v>R12_NAM</v>
      </c>
      <c r="C169" t="s">
        <v>549</v>
      </c>
      <c r="D169" t="s">
        <v>29</v>
      </c>
      <c r="E169">
        <v>0</v>
      </c>
      <c r="F169">
        <f>(E169-E168)/5</f>
        <v>0</v>
      </c>
      <c r="G169">
        <v>2020</v>
      </c>
      <c r="N169">
        <v>0.49</v>
      </c>
      <c r="O169">
        <f>(N169-N168)/5</f>
        <v>3.4799999999999998E-2</v>
      </c>
    </row>
    <row r="170" spans="1:15">
      <c r="A170" s="75" t="s">
        <v>72</v>
      </c>
      <c r="B170" t="str">
        <f t="shared" si="58"/>
        <v>R12_NAM</v>
      </c>
      <c r="C170" t="s">
        <v>549</v>
      </c>
      <c r="D170" t="s">
        <v>29</v>
      </c>
      <c r="E170" s="80">
        <v>0</v>
      </c>
      <c r="F170" s="80">
        <f>E170*0.1</f>
        <v>0</v>
      </c>
      <c r="G170">
        <v>2015</v>
      </c>
      <c r="N170" s="80">
        <v>0.06</v>
      </c>
      <c r="O170" s="80">
        <f>N170*0.1</f>
        <v>6.0000000000000001E-3</v>
      </c>
    </row>
    <row r="171" spans="1:15">
      <c r="A171" s="75" t="s">
        <v>72</v>
      </c>
      <c r="B171" t="str">
        <f t="shared" si="58"/>
        <v>R12_NAM</v>
      </c>
      <c r="C171" t="s">
        <v>549</v>
      </c>
      <c r="D171" t="s">
        <v>29</v>
      </c>
      <c r="E171" s="80">
        <v>0</v>
      </c>
      <c r="F171" s="80">
        <f>(E171-E170)/5</f>
        <v>0</v>
      </c>
      <c r="G171">
        <v>2020</v>
      </c>
      <c r="N171" s="80">
        <v>0.17299999999999999</v>
      </c>
      <c r="O171" s="80">
        <f>(N171-N170)/5</f>
        <v>2.2599999999999999E-2</v>
      </c>
    </row>
    <row r="172" spans="1:15">
      <c r="A172" s="75" t="s">
        <v>73</v>
      </c>
      <c r="B172" t="str">
        <f t="shared" si="58"/>
        <v>R12_NAM</v>
      </c>
      <c r="C172" t="s">
        <v>549</v>
      </c>
      <c r="D172" t="s">
        <v>29</v>
      </c>
      <c r="E172">
        <v>0</v>
      </c>
      <c r="F172">
        <f>E172*0.1</f>
        <v>0</v>
      </c>
      <c r="G172">
        <v>2015</v>
      </c>
      <c r="N172">
        <f>0.165*100</f>
        <v>16.5</v>
      </c>
      <c r="O172">
        <f>N172*0.1</f>
        <v>1.6500000000000001</v>
      </c>
    </row>
    <row r="173" spans="1:15">
      <c r="A173" s="75" t="s">
        <v>73</v>
      </c>
      <c r="B173" t="str">
        <f t="shared" si="58"/>
        <v>R12_NAM</v>
      </c>
      <c r="C173" t="s">
        <v>549</v>
      </c>
      <c r="D173" t="s">
        <v>29</v>
      </c>
      <c r="E173">
        <v>0</v>
      </c>
      <c r="F173">
        <f>(E173-E172)/5</f>
        <v>0</v>
      </c>
      <c r="G173">
        <v>2020</v>
      </c>
      <c r="N173">
        <f>0.339*100</f>
        <v>33.900000000000006</v>
      </c>
      <c r="O173">
        <f>(N173-N172)/5</f>
        <v>3.4800000000000013</v>
      </c>
    </row>
    <row r="174" spans="1:15">
      <c r="A174" s="75" t="s">
        <v>75</v>
      </c>
      <c r="B174" t="str">
        <f t="shared" si="58"/>
        <v>R12_NAM</v>
      </c>
      <c r="C174" t="s">
        <v>549</v>
      </c>
      <c r="D174" t="s">
        <v>29</v>
      </c>
      <c r="E174" s="168">
        <v>0</v>
      </c>
      <c r="F174" s="108">
        <v>0</v>
      </c>
      <c r="G174">
        <v>2015</v>
      </c>
      <c r="N174" s="108">
        <v>0</v>
      </c>
      <c r="O174" s="108">
        <v>0</v>
      </c>
    </row>
    <row r="175" spans="1:15">
      <c r="A175" s="75" t="s">
        <v>75</v>
      </c>
      <c r="B175" t="str">
        <f t="shared" si="58"/>
        <v>R12_NAM</v>
      </c>
      <c r="C175" t="s">
        <v>549</v>
      </c>
      <c r="D175" t="s">
        <v>29</v>
      </c>
      <c r="E175" s="168">
        <v>0</v>
      </c>
      <c r="F175" s="108">
        <v>0</v>
      </c>
      <c r="G175">
        <v>2020</v>
      </c>
      <c r="N175" s="108">
        <v>0</v>
      </c>
      <c r="O175" s="108">
        <v>0</v>
      </c>
    </row>
    <row r="176" spans="1:15">
      <c r="A176" s="75" t="s">
        <v>79</v>
      </c>
      <c r="B176" t="str">
        <f t="shared" si="58"/>
        <v>R12_NAM</v>
      </c>
      <c r="C176" t="s">
        <v>549</v>
      </c>
      <c r="D176" t="s">
        <v>29</v>
      </c>
      <c r="E176" s="107">
        <v>0</v>
      </c>
      <c r="F176" s="107">
        <v>0</v>
      </c>
      <c r="G176">
        <v>2015</v>
      </c>
      <c r="N176" s="107">
        <v>0</v>
      </c>
      <c r="O176" s="107">
        <v>0</v>
      </c>
    </row>
    <row r="177" spans="1:15">
      <c r="A177" s="75" t="s">
        <v>79</v>
      </c>
      <c r="B177" t="str">
        <f t="shared" si="58"/>
        <v>R12_NAM</v>
      </c>
      <c r="C177" t="s">
        <v>549</v>
      </c>
      <c r="D177" t="s">
        <v>29</v>
      </c>
      <c r="E177" s="107">
        <v>0</v>
      </c>
      <c r="F177" s="107">
        <f>(E177-E176)/5</f>
        <v>0</v>
      </c>
      <c r="G177">
        <v>2020</v>
      </c>
      <c r="I177" t="s">
        <v>444</v>
      </c>
      <c r="N177" s="107">
        <f>760/1000000</f>
        <v>7.6000000000000004E-4</v>
      </c>
      <c r="O177" s="107">
        <f>(N177-N176)/5</f>
        <v>1.5200000000000001E-4</v>
      </c>
    </row>
    <row r="178" spans="1:15">
      <c r="A178" s="75" t="s">
        <v>80</v>
      </c>
      <c r="B178" t="str">
        <f t="shared" si="58"/>
        <v>R12_NAM</v>
      </c>
      <c r="C178" t="s">
        <v>549</v>
      </c>
      <c r="D178" t="s">
        <v>29</v>
      </c>
      <c r="E178" s="108">
        <v>0</v>
      </c>
      <c r="F178" s="108">
        <v>0</v>
      </c>
      <c r="G178">
        <v>2015</v>
      </c>
      <c r="I178" t="s">
        <v>445</v>
      </c>
      <c r="N178" s="108">
        <f>4711/0.6344/1000000</f>
        <v>7.4259142496847412E-3</v>
      </c>
      <c r="O178" s="108">
        <v>0</v>
      </c>
    </row>
    <row r="179" spans="1:15">
      <c r="A179" s="75" t="s">
        <v>80</v>
      </c>
      <c r="B179" t="str">
        <f t="shared" si="58"/>
        <v>R12_NAM</v>
      </c>
      <c r="C179" t="s">
        <v>549</v>
      </c>
      <c r="D179" t="s">
        <v>29</v>
      </c>
      <c r="E179" s="108">
        <v>0</v>
      </c>
      <c r="F179" s="108">
        <f>(E179-E178)/5</f>
        <v>0</v>
      </c>
      <c r="G179">
        <v>2020</v>
      </c>
      <c r="I179" t="s">
        <v>444</v>
      </c>
      <c r="N179" s="108">
        <f>6126/0.6344/1000000</f>
        <v>9.6563682219419928E-3</v>
      </c>
      <c r="O179" s="108">
        <f>(N179-N178)/5</f>
        <v>4.4609079445145032E-4</v>
      </c>
    </row>
    <row r="180" spans="1:15">
      <c r="A180" s="75" t="s">
        <v>81</v>
      </c>
      <c r="B180" t="str">
        <f t="shared" si="58"/>
        <v>R12_NAM</v>
      </c>
      <c r="C180" t="s">
        <v>549</v>
      </c>
      <c r="D180" t="s">
        <v>29</v>
      </c>
      <c r="E180" s="13">
        <v>0</v>
      </c>
      <c r="F180" s="56">
        <f>E180*0.1</f>
        <v>0</v>
      </c>
      <c r="G180">
        <v>2015</v>
      </c>
      <c r="N180" s="13">
        <v>4.8943E-2</v>
      </c>
      <c r="O180" s="56">
        <f>N180*0.1</f>
        <v>4.8943000000000007E-3</v>
      </c>
    </row>
    <row r="181" spans="1:15">
      <c r="A181" s="75" t="s">
        <v>81</v>
      </c>
      <c r="B181" t="str">
        <f t="shared" si="58"/>
        <v>R12_NAM</v>
      </c>
      <c r="C181" t="s">
        <v>549</v>
      </c>
      <c r="D181" t="s">
        <v>29</v>
      </c>
      <c r="E181" s="13">
        <v>0</v>
      </c>
      <c r="F181" s="56">
        <f>(E181-E180)/5</f>
        <v>0</v>
      </c>
      <c r="G181">
        <v>2020</v>
      </c>
      <c r="N181" s="13">
        <v>6.4276E-2</v>
      </c>
      <c r="O181" s="56">
        <f>(N181-N180)/5</f>
        <v>3.0666000000000001E-3</v>
      </c>
    </row>
    <row r="182" spans="1:15">
      <c r="A182" s="75" t="s">
        <v>86</v>
      </c>
      <c r="B182" t="str">
        <f t="shared" si="58"/>
        <v>R12_NAM</v>
      </c>
      <c r="C182" t="s">
        <v>549</v>
      </c>
      <c r="D182" t="s">
        <v>29</v>
      </c>
      <c r="E182">
        <v>0.61499999999999999</v>
      </c>
      <c r="F182">
        <f>E182*0.1</f>
        <v>6.1499999999999999E-2</v>
      </c>
      <c r="G182">
        <v>2015</v>
      </c>
    </row>
    <row r="183" spans="1:15">
      <c r="A183" s="75" t="s">
        <v>86</v>
      </c>
      <c r="B183" t="str">
        <f t="shared" si="58"/>
        <v>R12_NAM</v>
      </c>
      <c r="C183" t="s">
        <v>549</v>
      </c>
      <c r="D183" t="s">
        <v>29</v>
      </c>
      <c r="E183">
        <v>0.55900000000000005</v>
      </c>
      <c r="F183">
        <v>0</v>
      </c>
      <c r="G183">
        <v>2020</v>
      </c>
    </row>
    <row r="184" spans="1:15">
      <c r="A184" s="75" t="s">
        <v>87</v>
      </c>
      <c r="B184" t="str">
        <f t="shared" si="58"/>
        <v>R12_NAM</v>
      </c>
      <c r="C184" t="s">
        <v>549</v>
      </c>
      <c r="D184" t="s">
        <v>29</v>
      </c>
      <c r="E184" s="56">
        <f>E310*Graphite_format!F277</f>
        <v>3.0250967606392392E-3</v>
      </c>
      <c r="F184" s="56">
        <f>F185*(E184/E185)</f>
        <v>5.041827934398732E-4</v>
      </c>
      <c r="G184">
        <v>2015</v>
      </c>
      <c r="N184">
        <v>1</v>
      </c>
      <c r="O184">
        <f>N184*0.1</f>
        <v>0.1</v>
      </c>
    </row>
    <row r="185" spans="1:15">
      <c r="A185" s="75" t="s">
        <v>87</v>
      </c>
      <c r="B185" t="str">
        <f t="shared" si="58"/>
        <v>R12_NAM</v>
      </c>
      <c r="C185" t="s">
        <v>549</v>
      </c>
      <c r="D185" t="s">
        <v>29</v>
      </c>
      <c r="E185" s="169">
        <f>E311*Graphite_format!F277</f>
        <v>1.8150580563835436E-2</v>
      </c>
      <c r="F185" s="56">
        <f>(E185-E184)/5</f>
        <v>3.0250967606392397E-3</v>
      </c>
      <c r="G185">
        <v>2020</v>
      </c>
      <c r="N185" s="80">
        <v>1</v>
      </c>
      <c r="O185">
        <f t="shared" ref="O185:O199" si="59">N185*0.1</f>
        <v>0.1</v>
      </c>
    </row>
    <row r="186" spans="1:15">
      <c r="A186" s="75" t="s">
        <v>89</v>
      </c>
      <c r="B186" t="str">
        <f t="shared" si="58"/>
        <v>R12_NAM</v>
      </c>
      <c r="C186" t="s">
        <v>549</v>
      </c>
      <c r="D186" t="s">
        <v>29</v>
      </c>
      <c r="E186" s="56">
        <f>E312*Graphite_format!F287</f>
        <v>1.577527730024075E-2</v>
      </c>
      <c r="F186" s="56">
        <f>F187*(E186/E187)</f>
        <v>2.3662915950361124E-3</v>
      </c>
      <c r="G186">
        <v>2015</v>
      </c>
      <c r="N186">
        <v>1</v>
      </c>
      <c r="O186">
        <f t="shared" si="59"/>
        <v>0.1</v>
      </c>
    </row>
    <row r="187" spans="1:15">
      <c r="A187" s="75" t="s">
        <v>89</v>
      </c>
      <c r="B187" t="str">
        <f t="shared" si="58"/>
        <v>R12_NAM</v>
      </c>
      <c r="C187" t="s">
        <v>549</v>
      </c>
      <c r="D187" t="s">
        <v>29</v>
      </c>
      <c r="E187" s="169">
        <f>E313*Graphite_format!F287</f>
        <v>6.3101109200962999E-2</v>
      </c>
      <c r="F187" s="56">
        <f>(E187-E186)/5</f>
        <v>9.4651663801444495E-3</v>
      </c>
      <c r="G187">
        <v>2020</v>
      </c>
      <c r="N187" s="80">
        <v>1</v>
      </c>
      <c r="O187">
        <f t="shared" si="59"/>
        <v>0.1</v>
      </c>
    </row>
    <row r="188" spans="1:15">
      <c r="A188" s="75" t="s">
        <v>92</v>
      </c>
      <c r="B188" t="str">
        <f t="shared" si="58"/>
        <v>R12_NAM</v>
      </c>
      <c r="C188" t="s">
        <v>549</v>
      </c>
      <c r="D188" t="s">
        <v>29</v>
      </c>
      <c r="E188" s="56">
        <f>E314*Graphite_format!F297</f>
        <v>1.4020265644255783E-2</v>
      </c>
      <c r="F188" s="56">
        <f>F189*(E188/E189)</f>
        <v>2.1030398466383672E-3</v>
      </c>
      <c r="G188">
        <v>2015</v>
      </c>
    </row>
    <row r="189" spans="1:15">
      <c r="A189" s="75" t="s">
        <v>92</v>
      </c>
      <c r="B189" t="str">
        <f t="shared" si="58"/>
        <v>R12_NAM</v>
      </c>
      <c r="C189" t="s">
        <v>549</v>
      </c>
      <c r="D189" t="s">
        <v>29</v>
      </c>
      <c r="E189" s="56">
        <f>E315*Graphite_format!F297</f>
        <v>5.6081062577023132E-2</v>
      </c>
      <c r="F189" s="56">
        <f>(E189-E188)/5</f>
        <v>8.4121593865534687E-3</v>
      </c>
      <c r="G189">
        <v>2020</v>
      </c>
    </row>
    <row r="190" spans="1:15">
      <c r="A190" s="75" t="s">
        <v>95</v>
      </c>
      <c r="B190" t="str">
        <f t="shared" si="58"/>
        <v>R12_NAM</v>
      </c>
      <c r="C190" t="s">
        <v>549</v>
      </c>
      <c r="D190" t="s">
        <v>29</v>
      </c>
      <c r="E190" s="56">
        <f>E316*Graphite_format!F307</f>
        <v>3.9280955998632064E-3</v>
      </c>
      <c r="F190" s="56">
        <f>F191*(E190/E191)</f>
        <v>6.5468259997720102E-4</v>
      </c>
      <c r="G190">
        <v>2015</v>
      </c>
      <c r="N190">
        <v>1</v>
      </c>
      <c r="O190">
        <f t="shared" si="59"/>
        <v>0.1</v>
      </c>
    </row>
    <row r="191" spans="1:15">
      <c r="A191" s="75" t="s">
        <v>95</v>
      </c>
      <c r="B191" t="str">
        <f t="shared" si="58"/>
        <v>R12_NAM</v>
      </c>
      <c r="C191" t="s">
        <v>549</v>
      </c>
      <c r="D191" t="s">
        <v>29</v>
      </c>
      <c r="E191" s="56">
        <f>E317*Graphite_format!F307</f>
        <v>2.356857359917924E-2</v>
      </c>
      <c r="F191" s="56">
        <f>(E191-E190)/5</f>
        <v>3.9280955998632064E-3</v>
      </c>
      <c r="G191">
        <v>2020</v>
      </c>
      <c r="N191">
        <v>1</v>
      </c>
      <c r="O191">
        <f t="shared" si="59"/>
        <v>0.1</v>
      </c>
    </row>
    <row r="192" spans="1:15">
      <c r="A192" s="75" t="s">
        <v>97</v>
      </c>
      <c r="B192" t="str">
        <f t="shared" si="58"/>
        <v>R12_NAM</v>
      </c>
      <c r="C192" t="s">
        <v>549</v>
      </c>
      <c r="D192" t="s">
        <v>29</v>
      </c>
      <c r="E192" s="56">
        <f>E310*Graphite_format!F278</f>
        <v>5.8523321350595703E-3</v>
      </c>
      <c r="F192" s="56">
        <f>F193*(E192/E193)</f>
        <v>9.7538868917659513E-4</v>
      </c>
      <c r="G192">
        <v>2015</v>
      </c>
      <c r="N192">
        <v>1</v>
      </c>
      <c r="O192">
        <f t="shared" si="59"/>
        <v>0.1</v>
      </c>
    </row>
    <row r="193" spans="1:15">
      <c r="A193" s="75" t="s">
        <v>97</v>
      </c>
      <c r="B193" t="str">
        <f t="shared" si="58"/>
        <v>R12_NAM</v>
      </c>
      <c r="C193" t="s">
        <v>549</v>
      </c>
      <c r="D193" t="s">
        <v>29</v>
      </c>
      <c r="E193" s="56">
        <f>E311*Graphite_format!F278</f>
        <v>3.5113992810357424E-2</v>
      </c>
      <c r="F193" s="56">
        <f>(E193-E192)/5</f>
        <v>5.8523321350595712E-3</v>
      </c>
      <c r="G193">
        <v>2020</v>
      </c>
      <c r="N193">
        <v>1</v>
      </c>
      <c r="O193">
        <f t="shared" si="59"/>
        <v>0.1</v>
      </c>
    </row>
    <row r="194" spans="1:15">
      <c r="A194" s="75" t="s">
        <v>98</v>
      </c>
      <c r="B194" t="str">
        <f t="shared" si="58"/>
        <v>R12_NAM</v>
      </c>
      <c r="C194" t="s">
        <v>549</v>
      </c>
      <c r="D194" t="s">
        <v>29</v>
      </c>
      <c r="E194" s="56">
        <f>E312*Graphite_format!F288</f>
        <v>2.541766298815603E-2</v>
      </c>
      <c r="F194" s="56">
        <f>F195*(E194/E195)</f>
        <v>3.8126494482234041E-3</v>
      </c>
      <c r="G194">
        <v>2015</v>
      </c>
      <c r="N194">
        <v>1</v>
      </c>
      <c r="O194">
        <f t="shared" si="59"/>
        <v>0.1</v>
      </c>
    </row>
    <row r="195" spans="1:15">
      <c r="A195" s="75" t="s">
        <v>98</v>
      </c>
      <c r="B195" t="str">
        <f t="shared" si="58"/>
        <v>R12_NAM</v>
      </c>
      <c r="C195" t="s">
        <v>549</v>
      </c>
      <c r="D195" t="s">
        <v>29</v>
      </c>
      <c r="E195" s="56">
        <f>E313*Graphite_format!F288</f>
        <v>0.10167065195262412</v>
      </c>
      <c r="F195" s="56">
        <f>(E195-E194)/5</f>
        <v>1.5250597792893617E-2</v>
      </c>
      <c r="G195">
        <v>2020</v>
      </c>
      <c r="N195">
        <v>1</v>
      </c>
      <c r="O195">
        <f t="shared" si="59"/>
        <v>0.1</v>
      </c>
    </row>
    <row r="196" spans="1:15">
      <c r="A196" s="75" t="s">
        <v>99</v>
      </c>
      <c r="B196" t="str">
        <f t="shared" si="58"/>
        <v>R12_NAM</v>
      </c>
      <c r="C196" t="s">
        <v>549</v>
      </c>
      <c r="D196" t="s">
        <v>29</v>
      </c>
      <c r="E196" s="56">
        <f>E314*Graphite_format!F298</f>
        <v>3.1910641745401438E-2</v>
      </c>
      <c r="F196" s="56">
        <f>F197*(E196/E197)</f>
        <v>4.7865962618102156E-3</v>
      </c>
      <c r="G196">
        <v>2015</v>
      </c>
    </row>
    <row r="197" spans="1:15">
      <c r="A197" s="75" t="s">
        <v>99</v>
      </c>
      <c r="B197" t="str">
        <f t="shared" si="58"/>
        <v>R12_NAM</v>
      </c>
      <c r="C197" t="s">
        <v>549</v>
      </c>
      <c r="D197" t="s">
        <v>29</v>
      </c>
      <c r="E197" s="56">
        <f>E315*Graphite_format!F298</f>
        <v>0.12764256698160575</v>
      </c>
      <c r="F197" s="56">
        <f>(E197-E196)/5</f>
        <v>1.9146385047240862E-2</v>
      </c>
      <c r="G197">
        <v>2020</v>
      </c>
    </row>
    <row r="198" spans="1:15">
      <c r="A198" s="75" t="s">
        <v>100</v>
      </c>
      <c r="B198" t="str">
        <f t="shared" si="58"/>
        <v>R12_NAM</v>
      </c>
      <c r="C198" t="s">
        <v>549</v>
      </c>
      <c r="D198" t="s">
        <v>29</v>
      </c>
      <c r="E198" s="56">
        <f>E316*Graphite_format!F308</f>
        <v>6.0126957108206933E-3</v>
      </c>
      <c r="F198" s="56">
        <f>F199*(E198/E199)</f>
        <v>1.002115951803449E-3</v>
      </c>
      <c r="G198">
        <v>2015</v>
      </c>
      <c r="N198">
        <v>1</v>
      </c>
      <c r="O198">
        <f t="shared" si="59"/>
        <v>0.1</v>
      </c>
    </row>
    <row r="199" spans="1:15">
      <c r="A199" s="75" t="s">
        <v>100</v>
      </c>
      <c r="B199" t="str">
        <f t="shared" si="58"/>
        <v>R12_NAM</v>
      </c>
      <c r="C199" t="s">
        <v>549</v>
      </c>
      <c r="D199" t="s">
        <v>29</v>
      </c>
      <c r="E199" s="56">
        <f>E317*Graphite_format!F308</f>
        <v>3.6076174264924162E-2</v>
      </c>
      <c r="F199" s="56">
        <f>(E199-E198)/5</f>
        <v>6.0126957108206942E-3</v>
      </c>
      <c r="G199">
        <v>2020</v>
      </c>
      <c r="N199">
        <v>1</v>
      </c>
      <c r="O199">
        <f t="shared" si="59"/>
        <v>0.1</v>
      </c>
    </row>
    <row r="200" spans="1:15">
      <c r="A200" s="75" t="s">
        <v>101</v>
      </c>
      <c r="B200" t="str">
        <f t="shared" si="58"/>
        <v>R12_NAM</v>
      </c>
      <c r="C200" t="s">
        <v>549</v>
      </c>
      <c r="D200" t="s">
        <v>29</v>
      </c>
      <c r="E200">
        <v>12.5</v>
      </c>
      <c r="F200">
        <f>E200*0.1</f>
        <v>1.25</v>
      </c>
      <c r="G200">
        <v>2015</v>
      </c>
      <c r="N200">
        <v>12.5</v>
      </c>
      <c r="O200">
        <f>N200*0.1</f>
        <v>1.25</v>
      </c>
    </row>
    <row r="201" spans="1:15" ht="15.75" thickBot="1">
      <c r="A201" s="77" t="s">
        <v>101</v>
      </c>
      <c r="B201" s="78" t="str">
        <f>B200</f>
        <v>R12_NAM</v>
      </c>
      <c r="C201" t="s">
        <v>549</v>
      </c>
      <c r="D201" s="78" t="s">
        <v>29</v>
      </c>
      <c r="E201" s="78">
        <v>14.5</v>
      </c>
      <c r="F201" s="78">
        <f>(E201-E200)/5</f>
        <v>0.4</v>
      </c>
      <c r="G201">
        <v>2020</v>
      </c>
      <c r="N201" s="78">
        <v>14.5</v>
      </c>
      <c r="O201" s="78">
        <f>(N201-N200)/5</f>
        <v>0.4</v>
      </c>
    </row>
    <row r="202" spans="1:15">
      <c r="A202" s="72" t="s">
        <v>10</v>
      </c>
      <c r="B202" s="73" t="s">
        <v>446</v>
      </c>
      <c r="C202" t="s">
        <v>549</v>
      </c>
      <c r="D202" s="73" t="s">
        <v>29</v>
      </c>
      <c r="E202" s="104">
        <f>Calculations_caps!D41</f>
        <v>1.9410159999999999</v>
      </c>
      <c r="F202" s="138">
        <v>0</v>
      </c>
      <c r="G202">
        <v>2015</v>
      </c>
      <c r="I202" s="38" t="s">
        <v>281</v>
      </c>
      <c r="J202" t="s">
        <v>66</v>
      </c>
      <c r="K202" t="s">
        <v>282</v>
      </c>
      <c r="N202" s="104">
        <f>N204/0.06</f>
        <v>1.5966666666666667</v>
      </c>
      <c r="O202" s="141">
        <f>(N202-0.065/0.06)/2</f>
        <v>0.2566666666666666</v>
      </c>
    </row>
    <row r="203" spans="1:15">
      <c r="A203" s="75" t="str">
        <f t="shared" ref="A203" si="60">A202</f>
        <v>mining_flotation_graphite</v>
      </c>
      <c r="B203" t="str">
        <f>B202</f>
        <v>R12_LAM</v>
      </c>
      <c r="C203" t="s">
        <v>549</v>
      </c>
      <c r="D203" t="str">
        <f t="shared" ref="D203" si="61">D202</f>
        <v>Mt</v>
      </c>
      <c r="E203" s="105">
        <f>Calculations_caps!D31</f>
        <v>1.5431077199999998</v>
      </c>
      <c r="F203" s="139">
        <v>0</v>
      </c>
      <c r="G203">
        <v>2020</v>
      </c>
      <c r="I203" s="38" t="s">
        <v>277</v>
      </c>
      <c r="J203" t="s">
        <v>276</v>
      </c>
      <c r="K203" t="s">
        <v>280</v>
      </c>
      <c r="N203" s="105">
        <f>N205/0.06</f>
        <v>1.8666666666666665</v>
      </c>
      <c r="O203" s="106">
        <f>(N203-N202)/5</f>
        <v>5.3999999999999958E-2</v>
      </c>
    </row>
    <row r="204" spans="1:15">
      <c r="A204" s="75" t="s">
        <v>43</v>
      </c>
      <c r="B204" t="str">
        <f t="shared" ref="B204:B250" si="62">B203</f>
        <v>R12_LAM</v>
      </c>
      <c r="C204" t="s">
        <v>549</v>
      </c>
      <c r="D204" t="s">
        <v>29</v>
      </c>
      <c r="E204" s="106">
        <f>Calculations_caps!E41</f>
        <v>0.2024</v>
      </c>
      <c r="F204" s="106">
        <f>F205*(E204/E205)</f>
        <v>0</v>
      </c>
      <c r="G204">
        <v>2015</v>
      </c>
      <c r="I204" s="38" t="s">
        <v>281</v>
      </c>
      <c r="N204" s="106">
        <f>0.092+0.0038</f>
        <v>9.5799999999999996E-2</v>
      </c>
      <c r="O204" s="106">
        <f>(N204-0.065)/2</f>
        <v>1.5399999999999997E-2</v>
      </c>
    </row>
    <row r="205" spans="1:15">
      <c r="A205" s="75" t="s">
        <v>43</v>
      </c>
      <c r="B205" t="str">
        <f t="shared" si="62"/>
        <v>R12_LAM</v>
      </c>
      <c r="C205" t="s">
        <v>549</v>
      </c>
      <c r="D205" t="s">
        <v>29</v>
      </c>
      <c r="E205" s="106">
        <f>Calculations_caps!E31</f>
        <v>0.160908</v>
      </c>
      <c r="F205" s="106">
        <v>0</v>
      </c>
      <c r="G205">
        <v>2020</v>
      </c>
      <c r="I205" s="38" t="s">
        <v>277</v>
      </c>
      <c r="J205" t="s">
        <v>278</v>
      </c>
      <c r="N205" s="106">
        <f>0.09+0.022</f>
        <v>0.11199999999999999</v>
      </c>
      <c r="O205" s="106">
        <f>(N205-N204)/5</f>
        <v>3.2399999999999985E-3</v>
      </c>
    </row>
    <row r="206" spans="1:15">
      <c r="A206" s="75" t="s">
        <v>61</v>
      </c>
      <c r="B206" t="str">
        <f t="shared" si="62"/>
        <v>R12_LAM</v>
      </c>
      <c r="C206" t="s">
        <v>549</v>
      </c>
      <c r="D206" t="s">
        <v>29</v>
      </c>
      <c r="E206" s="109">
        <v>0</v>
      </c>
      <c r="F206" s="109">
        <f>E206*0.1</f>
        <v>0</v>
      </c>
      <c r="G206">
        <v>2015</v>
      </c>
      <c r="N206" s="109">
        <v>5</v>
      </c>
      <c r="O206" s="109">
        <f>N206*0.1</f>
        <v>0.5</v>
      </c>
    </row>
    <row r="207" spans="1:15">
      <c r="A207" s="75" t="s">
        <v>62</v>
      </c>
      <c r="B207" t="str">
        <f t="shared" si="62"/>
        <v>R12_LAM</v>
      </c>
      <c r="C207" t="s">
        <v>549</v>
      </c>
      <c r="D207" t="s">
        <v>29</v>
      </c>
      <c r="E207" s="109">
        <v>0</v>
      </c>
      <c r="F207" s="109">
        <f>E207*0.1</f>
        <v>0</v>
      </c>
      <c r="G207">
        <v>2020</v>
      </c>
      <c r="N207" s="109">
        <v>1.5</v>
      </c>
      <c r="O207" s="109">
        <f>N207*0.1</f>
        <v>0.15000000000000002</v>
      </c>
    </row>
    <row r="208" spans="1:15">
      <c r="A208" s="75" t="s">
        <v>63</v>
      </c>
      <c r="B208" t="str">
        <f t="shared" si="62"/>
        <v>R12_LAM</v>
      </c>
      <c r="C208" t="s">
        <v>549</v>
      </c>
      <c r="D208" t="s">
        <v>29</v>
      </c>
      <c r="E208" s="109">
        <v>0</v>
      </c>
      <c r="F208" s="109">
        <v>0.03</v>
      </c>
      <c r="G208">
        <v>2015</v>
      </c>
      <c r="N208" s="109">
        <v>0.36</v>
      </c>
      <c r="O208" s="109">
        <v>0.03</v>
      </c>
    </row>
    <row r="209" spans="1:15">
      <c r="A209" s="75" t="s">
        <v>61</v>
      </c>
      <c r="B209" t="str">
        <f t="shared" si="62"/>
        <v>R12_LAM</v>
      </c>
      <c r="C209" t="s">
        <v>549</v>
      </c>
      <c r="D209" t="s">
        <v>29</v>
      </c>
      <c r="E209" s="109">
        <v>0</v>
      </c>
      <c r="F209" s="109">
        <f>E209*0.1</f>
        <v>0</v>
      </c>
      <c r="G209">
        <v>2020</v>
      </c>
      <c r="N209" s="109">
        <v>7</v>
      </c>
      <c r="O209" s="109">
        <f>N209*0.1</f>
        <v>0.70000000000000007</v>
      </c>
    </row>
    <row r="210" spans="1:15">
      <c r="A210" s="75" t="s">
        <v>62</v>
      </c>
      <c r="B210" t="str">
        <f t="shared" si="62"/>
        <v>R12_LAM</v>
      </c>
      <c r="C210" t="s">
        <v>549</v>
      </c>
      <c r="D210" t="s">
        <v>29</v>
      </c>
      <c r="E210" s="109">
        <v>0</v>
      </c>
      <c r="F210" s="109">
        <f>(E210-E207)/5</f>
        <v>0</v>
      </c>
      <c r="G210">
        <v>2015</v>
      </c>
      <c r="N210" s="109">
        <v>2</v>
      </c>
      <c r="O210" s="109">
        <f>(N210-N207)/5</f>
        <v>0.1</v>
      </c>
    </row>
    <row r="211" spans="1:15">
      <c r="A211" s="75" t="s">
        <v>63</v>
      </c>
      <c r="B211" t="str">
        <f t="shared" si="62"/>
        <v>R12_LAM</v>
      </c>
      <c r="C211" t="s">
        <v>549</v>
      </c>
      <c r="D211" t="s">
        <v>29</v>
      </c>
      <c r="E211" s="109">
        <v>0</v>
      </c>
      <c r="F211" s="109">
        <v>0.05</v>
      </c>
      <c r="G211">
        <v>2020</v>
      </c>
      <c r="N211" s="109">
        <v>0.9</v>
      </c>
      <c r="O211" s="109">
        <v>0.05</v>
      </c>
    </row>
    <row r="212" spans="1:15">
      <c r="A212" s="75" t="s">
        <v>64</v>
      </c>
      <c r="B212" t="str">
        <f t="shared" si="62"/>
        <v>R12_LAM</v>
      </c>
      <c r="C212" t="s">
        <v>549</v>
      </c>
      <c r="D212" t="s">
        <v>29</v>
      </c>
      <c r="E212">
        <f>Calculations_caps!D11</f>
        <v>1.35924</v>
      </c>
      <c r="F212">
        <f>F215/2</f>
        <v>0.12821200000000002</v>
      </c>
      <c r="G212">
        <v>2015</v>
      </c>
      <c r="N212">
        <v>6.2E-2</v>
      </c>
      <c r="O212">
        <f>N212*0.1</f>
        <v>6.2000000000000006E-3</v>
      </c>
    </row>
    <row r="213" spans="1:15">
      <c r="A213" s="75" t="s">
        <v>67</v>
      </c>
      <c r="B213" t="str">
        <f t="shared" si="62"/>
        <v>R12_LAM</v>
      </c>
      <c r="C213" t="s">
        <v>549</v>
      </c>
      <c r="D213" t="s">
        <v>29</v>
      </c>
      <c r="E213">
        <f>Calculations_caps!E11</f>
        <v>5.6399999999999999E-2</v>
      </c>
      <c r="F213">
        <f>F216/2</f>
        <v>5.3200000000000001E-3</v>
      </c>
      <c r="G213">
        <v>2020</v>
      </c>
      <c r="N213">
        <v>0</v>
      </c>
      <c r="O213">
        <v>0</v>
      </c>
    </row>
    <row r="214" spans="1:15">
      <c r="A214" s="75" t="s">
        <v>68</v>
      </c>
      <c r="B214" t="str">
        <f t="shared" si="62"/>
        <v>R12_LAM</v>
      </c>
      <c r="C214" t="s">
        <v>549</v>
      </c>
      <c r="D214" t="s">
        <v>29</v>
      </c>
      <c r="E214">
        <v>0.1</v>
      </c>
      <c r="F214">
        <f>E214*0.1</f>
        <v>1.0000000000000002E-2</v>
      </c>
      <c r="G214">
        <v>2015</v>
      </c>
      <c r="N214">
        <v>0.1</v>
      </c>
      <c r="O214">
        <f>N214*0.1</f>
        <v>1.0000000000000002E-2</v>
      </c>
    </row>
    <row r="215" spans="1:15">
      <c r="A215" s="75" t="s">
        <v>64</v>
      </c>
      <c r="B215" t="str">
        <f t="shared" si="62"/>
        <v>R12_LAM</v>
      </c>
      <c r="C215" t="s">
        <v>549</v>
      </c>
      <c r="D215" t="s">
        <v>29</v>
      </c>
      <c r="E215">
        <f>Calculations_caps!D3</f>
        <v>2.6413600000000002</v>
      </c>
      <c r="F215">
        <f>(E215-E212)/5</f>
        <v>0.25642400000000004</v>
      </c>
      <c r="G215">
        <v>2020</v>
      </c>
      <c r="N215">
        <f>0.0141+0.055</f>
        <v>6.9099999999999995E-2</v>
      </c>
      <c r="O215">
        <f>(N215-N212)/5</f>
        <v>1.419999999999999E-3</v>
      </c>
    </row>
    <row r="216" spans="1:15">
      <c r="A216" s="75" t="s">
        <v>67</v>
      </c>
      <c r="B216" t="str">
        <f t="shared" si="62"/>
        <v>R12_LAM</v>
      </c>
      <c r="C216" t="s">
        <v>549</v>
      </c>
      <c r="D216" t="s">
        <v>29</v>
      </c>
      <c r="E216">
        <f>Calculations_caps!E3</f>
        <v>0.1096</v>
      </c>
      <c r="F216">
        <f>(E216-E213)/5</f>
        <v>1.064E-2</v>
      </c>
      <c r="G216">
        <v>2015</v>
      </c>
      <c r="N216">
        <v>0.14000000000000001</v>
      </c>
      <c r="O216">
        <f>(N216-N214)/5</f>
        <v>8.0000000000000019E-3</v>
      </c>
    </row>
    <row r="217" spans="1:15">
      <c r="A217" s="75" t="s">
        <v>68</v>
      </c>
      <c r="B217" t="str">
        <f t="shared" si="62"/>
        <v>R12_LAM</v>
      </c>
      <c r="C217" t="s">
        <v>549</v>
      </c>
      <c r="D217" t="s">
        <v>29</v>
      </c>
      <c r="E217">
        <v>0</v>
      </c>
      <c r="F217">
        <v>0</v>
      </c>
      <c r="G217">
        <v>2020</v>
      </c>
      <c r="N217">
        <v>0</v>
      </c>
      <c r="O217">
        <v>0</v>
      </c>
    </row>
    <row r="218" spans="1:15">
      <c r="A218" s="75" t="s">
        <v>71</v>
      </c>
      <c r="B218" t="str">
        <f t="shared" si="62"/>
        <v>R12_LAM</v>
      </c>
      <c r="C218" t="s">
        <v>549</v>
      </c>
      <c r="D218" t="s">
        <v>29</v>
      </c>
      <c r="E218">
        <v>0</v>
      </c>
      <c r="F218">
        <f>E218*0.1</f>
        <v>0</v>
      </c>
      <c r="G218">
        <v>2015</v>
      </c>
      <c r="N218">
        <f>0.295+0.021</f>
        <v>0.316</v>
      </c>
      <c r="O218">
        <f>N218*0.1</f>
        <v>3.1600000000000003E-2</v>
      </c>
    </row>
    <row r="219" spans="1:15">
      <c r="A219" s="75" t="s">
        <v>71</v>
      </c>
      <c r="B219" t="str">
        <f t="shared" si="62"/>
        <v>R12_LAM</v>
      </c>
      <c r="C219" t="s">
        <v>549</v>
      </c>
      <c r="D219" t="s">
        <v>29</v>
      </c>
      <c r="E219">
        <v>0</v>
      </c>
      <c r="F219">
        <f>(E219-E218)/5</f>
        <v>0</v>
      </c>
      <c r="G219">
        <v>2020</v>
      </c>
      <c r="N219">
        <v>0.49</v>
      </c>
      <c r="O219">
        <f>(N219-N218)/5</f>
        <v>3.4799999999999998E-2</v>
      </c>
    </row>
    <row r="220" spans="1:15">
      <c r="A220" s="75" t="s">
        <v>72</v>
      </c>
      <c r="B220" t="str">
        <f t="shared" si="62"/>
        <v>R12_LAM</v>
      </c>
      <c r="C220" t="s">
        <v>549</v>
      </c>
      <c r="D220" t="s">
        <v>29</v>
      </c>
      <c r="E220" s="80">
        <v>0</v>
      </c>
      <c r="F220" s="80">
        <f>E220*0.1</f>
        <v>0</v>
      </c>
      <c r="G220">
        <v>2015</v>
      </c>
      <c r="N220" s="80">
        <v>0.06</v>
      </c>
      <c r="O220" s="80">
        <f>N220*0.1</f>
        <v>6.0000000000000001E-3</v>
      </c>
    </row>
    <row r="221" spans="1:15">
      <c r="A221" s="75" t="s">
        <v>72</v>
      </c>
      <c r="B221" t="str">
        <f t="shared" si="62"/>
        <v>R12_LAM</v>
      </c>
      <c r="C221" t="s">
        <v>549</v>
      </c>
      <c r="D221" t="s">
        <v>29</v>
      </c>
      <c r="E221" s="80">
        <v>0</v>
      </c>
      <c r="F221" s="80">
        <f>(E221-E220)/5</f>
        <v>0</v>
      </c>
      <c r="G221">
        <v>2020</v>
      </c>
      <c r="N221" s="80">
        <v>0.17299999999999999</v>
      </c>
      <c r="O221" s="80">
        <f>(N221-N220)/5</f>
        <v>2.2599999999999999E-2</v>
      </c>
    </row>
    <row r="222" spans="1:15">
      <c r="A222" s="75" t="s">
        <v>73</v>
      </c>
      <c r="B222" t="str">
        <f t="shared" si="62"/>
        <v>R12_LAM</v>
      </c>
      <c r="C222" t="s">
        <v>549</v>
      </c>
      <c r="D222" t="s">
        <v>29</v>
      </c>
      <c r="E222" s="107">
        <v>0</v>
      </c>
      <c r="F222" s="107">
        <f>E222*0.1</f>
        <v>0</v>
      </c>
      <c r="G222">
        <v>2015</v>
      </c>
      <c r="N222" s="107">
        <v>0</v>
      </c>
      <c r="O222" s="107">
        <f>N222*0.1</f>
        <v>0</v>
      </c>
    </row>
    <row r="223" spans="1:15">
      <c r="A223" s="75" t="s">
        <v>73</v>
      </c>
      <c r="B223" t="str">
        <f t="shared" si="62"/>
        <v>R12_LAM</v>
      </c>
      <c r="C223" t="s">
        <v>549</v>
      </c>
      <c r="D223" t="s">
        <v>29</v>
      </c>
      <c r="E223" s="107">
        <v>0</v>
      </c>
      <c r="F223" s="107">
        <f>(E223-E222)/5</f>
        <v>0</v>
      </c>
      <c r="G223">
        <v>2020</v>
      </c>
      <c r="N223" s="107">
        <v>0</v>
      </c>
      <c r="O223" s="107">
        <f>(N223-N222)/5</f>
        <v>0</v>
      </c>
    </row>
    <row r="224" spans="1:15">
      <c r="A224" s="75" t="s">
        <v>75</v>
      </c>
      <c r="B224" t="str">
        <f t="shared" si="62"/>
        <v>R12_LAM</v>
      </c>
      <c r="C224" t="s">
        <v>549</v>
      </c>
      <c r="D224" t="s">
        <v>29</v>
      </c>
      <c r="E224" s="168">
        <v>0</v>
      </c>
      <c r="F224" s="108">
        <f>E224*0.1</f>
        <v>0</v>
      </c>
      <c r="G224">
        <v>2015</v>
      </c>
      <c r="N224" s="108">
        <v>0</v>
      </c>
      <c r="O224" s="108">
        <f>N224*0.1</f>
        <v>0</v>
      </c>
    </row>
    <row r="225" spans="1:15">
      <c r="A225" s="75" t="s">
        <v>75</v>
      </c>
      <c r="B225" t="str">
        <f t="shared" si="62"/>
        <v>R12_LAM</v>
      </c>
      <c r="C225" t="s">
        <v>549</v>
      </c>
      <c r="D225" t="s">
        <v>29</v>
      </c>
      <c r="E225" s="168">
        <v>0</v>
      </c>
      <c r="F225" s="108">
        <f>(E225-E224)/5</f>
        <v>0</v>
      </c>
      <c r="G225">
        <v>2020</v>
      </c>
      <c r="N225" s="108">
        <v>0</v>
      </c>
      <c r="O225" s="108">
        <f>(N225-N224)/5</f>
        <v>0</v>
      </c>
    </row>
    <row r="226" spans="1:15">
      <c r="A226" s="75" t="s">
        <v>79</v>
      </c>
      <c r="B226" t="str">
        <f t="shared" si="62"/>
        <v>R12_LAM</v>
      </c>
      <c r="C226" t="s">
        <v>549</v>
      </c>
      <c r="D226" t="s">
        <v>29</v>
      </c>
      <c r="E226" s="107">
        <v>0</v>
      </c>
      <c r="F226" s="107">
        <v>0</v>
      </c>
      <c r="G226">
        <v>2015</v>
      </c>
      <c r="N226" s="107">
        <v>0</v>
      </c>
      <c r="O226" s="107">
        <v>0</v>
      </c>
    </row>
    <row r="227" spans="1:15">
      <c r="A227" s="75" t="s">
        <v>79</v>
      </c>
      <c r="B227" t="str">
        <f t="shared" si="62"/>
        <v>R12_LAM</v>
      </c>
      <c r="C227" t="s">
        <v>549</v>
      </c>
      <c r="D227" t="s">
        <v>29</v>
      </c>
      <c r="E227" s="107">
        <v>0</v>
      </c>
      <c r="F227" s="107">
        <v>0</v>
      </c>
      <c r="G227">
        <v>2020</v>
      </c>
      <c r="N227" s="107">
        <v>0</v>
      </c>
      <c r="O227" s="107">
        <v>0</v>
      </c>
    </row>
    <row r="228" spans="1:15">
      <c r="A228" s="75" t="s">
        <v>80</v>
      </c>
      <c r="B228" t="str">
        <f t="shared" si="62"/>
        <v>R12_LAM</v>
      </c>
      <c r="C228" t="s">
        <v>549</v>
      </c>
      <c r="D228" t="s">
        <v>29</v>
      </c>
      <c r="E228" s="107">
        <v>0</v>
      </c>
      <c r="F228" s="108">
        <v>0</v>
      </c>
      <c r="G228">
        <v>2015</v>
      </c>
      <c r="N228" s="107">
        <f>1369/0.6344/1000000</f>
        <v>2.1579445145018918E-3</v>
      </c>
      <c r="O228" s="108">
        <f>(1369-1012)/0.6344/1000000/2</f>
        <v>2.8136822194199245E-4</v>
      </c>
    </row>
    <row r="229" spans="1:15">
      <c r="A229" s="75" t="s">
        <v>80</v>
      </c>
      <c r="B229" t="str">
        <f t="shared" si="62"/>
        <v>R12_LAM</v>
      </c>
      <c r="C229" t="s">
        <v>549</v>
      </c>
      <c r="D229" t="s">
        <v>29</v>
      </c>
      <c r="E229" s="107">
        <v>0</v>
      </c>
      <c r="F229" s="107">
        <v>0</v>
      </c>
      <c r="G229">
        <v>2020</v>
      </c>
      <c r="N229" s="107">
        <f>1300/0.6344/1000000</f>
        <v>2.0491803278688526E-3</v>
      </c>
      <c r="O229" s="107">
        <v>0</v>
      </c>
    </row>
    <row r="230" spans="1:15">
      <c r="A230" s="75" t="s">
        <v>81</v>
      </c>
      <c r="B230" t="str">
        <f t="shared" si="62"/>
        <v>R12_LAM</v>
      </c>
      <c r="C230" t="s">
        <v>549</v>
      </c>
      <c r="D230" t="s">
        <v>29</v>
      </c>
      <c r="E230" s="13">
        <v>0</v>
      </c>
      <c r="F230" s="56">
        <f>E230*0.1</f>
        <v>0</v>
      </c>
      <c r="G230">
        <v>2015</v>
      </c>
      <c r="N230" s="13">
        <v>4.8943E-2</v>
      </c>
      <c r="O230" s="56">
        <f>N230*0.1</f>
        <v>4.8943000000000007E-3</v>
      </c>
    </row>
    <row r="231" spans="1:15">
      <c r="A231" s="75" t="s">
        <v>81</v>
      </c>
      <c r="B231" t="str">
        <f t="shared" si="62"/>
        <v>R12_LAM</v>
      </c>
      <c r="C231" t="s">
        <v>549</v>
      </c>
      <c r="D231" t="s">
        <v>29</v>
      </c>
      <c r="E231" s="13">
        <v>0</v>
      </c>
      <c r="F231" s="56">
        <f>(E231-E230)/5</f>
        <v>0</v>
      </c>
      <c r="G231">
        <v>2020</v>
      </c>
      <c r="N231" s="13">
        <v>6.4276E-2</v>
      </c>
      <c r="O231" s="56">
        <f>(N231-N230)/5</f>
        <v>3.0666000000000001E-3</v>
      </c>
    </row>
    <row r="232" spans="1:15">
      <c r="A232" s="75" t="s">
        <v>86</v>
      </c>
      <c r="B232" t="str">
        <f t="shared" si="62"/>
        <v>R12_LAM</v>
      </c>
      <c r="C232" t="s">
        <v>549</v>
      </c>
      <c r="D232" t="s">
        <v>29</v>
      </c>
      <c r="E232">
        <v>1.95</v>
      </c>
      <c r="F232">
        <f>E232*0.1</f>
        <v>0.19500000000000001</v>
      </c>
      <c r="G232">
        <v>2015</v>
      </c>
    </row>
    <row r="233" spans="1:15">
      <c r="A233" s="75" t="s">
        <v>86</v>
      </c>
      <c r="B233" t="str">
        <f t="shared" si="62"/>
        <v>R12_LAM</v>
      </c>
      <c r="C233" t="s">
        <v>549</v>
      </c>
      <c r="D233" t="s">
        <v>29</v>
      </c>
      <c r="E233">
        <v>1.7</v>
      </c>
      <c r="F233">
        <v>0</v>
      </c>
      <c r="G233">
        <v>2020</v>
      </c>
    </row>
    <row r="234" spans="1:15">
      <c r="A234" s="75" t="s">
        <v>87</v>
      </c>
      <c r="B234" t="str">
        <f t="shared" si="62"/>
        <v>R12_LAM</v>
      </c>
      <c r="C234" t="s">
        <v>549</v>
      </c>
      <c r="D234" t="s">
        <v>29</v>
      </c>
      <c r="E234">
        <v>0</v>
      </c>
      <c r="F234">
        <v>0</v>
      </c>
      <c r="G234">
        <v>2015</v>
      </c>
      <c r="N234">
        <v>0</v>
      </c>
      <c r="O234">
        <v>0</v>
      </c>
    </row>
    <row r="235" spans="1:15">
      <c r="A235" s="75" t="s">
        <v>87</v>
      </c>
      <c r="B235" t="str">
        <f t="shared" si="62"/>
        <v>R12_LAM</v>
      </c>
      <c r="C235" t="s">
        <v>549</v>
      </c>
      <c r="D235" t="s">
        <v>29</v>
      </c>
      <c r="E235">
        <v>0</v>
      </c>
      <c r="F235">
        <v>0</v>
      </c>
      <c r="G235">
        <v>2020</v>
      </c>
      <c r="N235">
        <v>0</v>
      </c>
      <c r="O235">
        <v>0</v>
      </c>
    </row>
    <row r="236" spans="1:15">
      <c r="A236" s="75" t="s">
        <v>89</v>
      </c>
      <c r="B236" t="str">
        <f t="shared" si="62"/>
        <v>R12_LAM</v>
      </c>
      <c r="C236" t="s">
        <v>549</v>
      </c>
      <c r="D236" t="s">
        <v>29</v>
      </c>
      <c r="E236">
        <v>0</v>
      </c>
      <c r="F236">
        <v>0</v>
      </c>
      <c r="G236">
        <v>2015</v>
      </c>
      <c r="N236">
        <v>0</v>
      </c>
      <c r="O236">
        <v>0</v>
      </c>
    </row>
    <row r="237" spans="1:15">
      <c r="A237" s="75" t="s">
        <v>89</v>
      </c>
      <c r="B237" t="str">
        <f t="shared" si="62"/>
        <v>R12_LAM</v>
      </c>
      <c r="C237" t="s">
        <v>549</v>
      </c>
      <c r="D237" t="s">
        <v>29</v>
      </c>
      <c r="E237">
        <v>0</v>
      </c>
      <c r="F237">
        <v>0</v>
      </c>
      <c r="G237">
        <v>2020</v>
      </c>
      <c r="N237">
        <v>0</v>
      </c>
      <c r="O237">
        <v>0</v>
      </c>
    </row>
    <row r="238" spans="1:15">
      <c r="A238" s="75" t="s">
        <v>92</v>
      </c>
      <c r="B238" t="str">
        <f t="shared" si="62"/>
        <v>R12_LAM</v>
      </c>
      <c r="C238" t="s">
        <v>549</v>
      </c>
      <c r="D238" t="s">
        <v>29</v>
      </c>
      <c r="E238">
        <v>0</v>
      </c>
      <c r="F238">
        <v>0</v>
      </c>
      <c r="G238">
        <v>2015</v>
      </c>
      <c r="N238">
        <v>0</v>
      </c>
      <c r="O238">
        <v>0</v>
      </c>
    </row>
    <row r="239" spans="1:15">
      <c r="A239" s="75" t="s">
        <v>92</v>
      </c>
      <c r="B239" t="str">
        <f t="shared" si="62"/>
        <v>R12_LAM</v>
      </c>
      <c r="C239" t="s">
        <v>549</v>
      </c>
      <c r="D239" t="s">
        <v>29</v>
      </c>
      <c r="E239">
        <v>0</v>
      </c>
      <c r="F239">
        <v>0</v>
      </c>
      <c r="G239">
        <v>2020</v>
      </c>
      <c r="N239">
        <v>0</v>
      </c>
      <c r="O239">
        <v>0</v>
      </c>
    </row>
    <row r="240" spans="1:15">
      <c r="A240" s="75" t="s">
        <v>95</v>
      </c>
      <c r="B240" t="str">
        <f t="shared" si="62"/>
        <v>R12_LAM</v>
      </c>
      <c r="C240" t="s">
        <v>549</v>
      </c>
      <c r="D240" t="s">
        <v>29</v>
      </c>
      <c r="E240">
        <v>0</v>
      </c>
      <c r="F240">
        <v>0</v>
      </c>
      <c r="G240">
        <v>2015</v>
      </c>
      <c r="N240">
        <v>0</v>
      </c>
      <c r="O240">
        <v>0</v>
      </c>
    </row>
    <row r="241" spans="1:15">
      <c r="A241" s="75" t="s">
        <v>95</v>
      </c>
      <c r="B241" t="str">
        <f t="shared" si="62"/>
        <v>R12_LAM</v>
      </c>
      <c r="C241" t="s">
        <v>549</v>
      </c>
      <c r="D241" t="s">
        <v>29</v>
      </c>
      <c r="E241">
        <v>0</v>
      </c>
      <c r="F241">
        <v>0</v>
      </c>
      <c r="G241">
        <v>2020</v>
      </c>
      <c r="N241">
        <v>0</v>
      </c>
      <c r="O241">
        <v>0</v>
      </c>
    </row>
    <row r="242" spans="1:15">
      <c r="A242" s="75" t="s">
        <v>97</v>
      </c>
      <c r="B242" t="str">
        <f t="shared" si="62"/>
        <v>R12_LAM</v>
      </c>
      <c r="C242" t="s">
        <v>549</v>
      </c>
      <c r="D242" t="s">
        <v>29</v>
      </c>
      <c r="E242">
        <v>0</v>
      </c>
      <c r="F242">
        <v>0</v>
      </c>
      <c r="G242">
        <v>2015</v>
      </c>
      <c r="N242">
        <v>0</v>
      </c>
      <c r="O242">
        <v>0</v>
      </c>
    </row>
    <row r="243" spans="1:15">
      <c r="A243" s="75" t="s">
        <v>97</v>
      </c>
      <c r="B243" t="str">
        <f t="shared" si="62"/>
        <v>R12_LAM</v>
      </c>
      <c r="C243" t="s">
        <v>549</v>
      </c>
      <c r="D243" t="s">
        <v>29</v>
      </c>
      <c r="E243">
        <v>0</v>
      </c>
      <c r="F243">
        <v>0</v>
      </c>
      <c r="G243">
        <v>2020</v>
      </c>
      <c r="N243">
        <v>0</v>
      </c>
      <c r="O243">
        <v>0</v>
      </c>
    </row>
    <row r="244" spans="1:15">
      <c r="A244" s="75" t="s">
        <v>98</v>
      </c>
      <c r="B244" t="str">
        <f t="shared" si="62"/>
        <v>R12_LAM</v>
      </c>
      <c r="C244" t="s">
        <v>549</v>
      </c>
      <c r="D244" t="s">
        <v>29</v>
      </c>
      <c r="E244">
        <v>0</v>
      </c>
      <c r="F244">
        <v>0</v>
      </c>
      <c r="G244">
        <v>2015</v>
      </c>
      <c r="N244">
        <v>0</v>
      </c>
      <c r="O244">
        <v>0</v>
      </c>
    </row>
    <row r="245" spans="1:15">
      <c r="A245" s="75" t="s">
        <v>98</v>
      </c>
      <c r="B245" t="str">
        <f t="shared" si="62"/>
        <v>R12_LAM</v>
      </c>
      <c r="C245" t="s">
        <v>549</v>
      </c>
      <c r="D245" t="s">
        <v>29</v>
      </c>
      <c r="E245">
        <v>0</v>
      </c>
      <c r="F245">
        <v>0</v>
      </c>
      <c r="G245">
        <v>2020</v>
      </c>
      <c r="N245">
        <v>0</v>
      </c>
      <c r="O245">
        <v>0</v>
      </c>
    </row>
    <row r="246" spans="1:15">
      <c r="A246" s="75" t="s">
        <v>99</v>
      </c>
      <c r="B246" t="str">
        <f t="shared" si="62"/>
        <v>R12_LAM</v>
      </c>
      <c r="C246" t="s">
        <v>549</v>
      </c>
      <c r="D246" t="s">
        <v>29</v>
      </c>
      <c r="E246">
        <v>0</v>
      </c>
      <c r="F246">
        <v>0</v>
      </c>
      <c r="G246">
        <v>2015</v>
      </c>
      <c r="N246">
        <v>0</v>
      </c>
      <c r="O246">
        <v>0</v>
      </c>
    </row>
    <row r="247" spans="1:15">
      <c r="A247" s="75" t="s">
        <v>99</v>
      </c>
      <c r="B247" t="str">
        <f t="shared" si="62"/>
        <v>R12_LAM</v>
      </c>
      <c r="C247" t="s">
        <v>549</v>
      </c>
      <c r="D247" t="s">
        <v>29</v>
      </c>
      <c r="E247">
        <v>0</v>
      </c>
      <c r="F247">
        <v>0</v>
      </c>
      <c r="G247">
        <v>2020</v>
      </c>
      <c r="N247">
        <v>0</v>
      </c>
      <c r="O247">
        <v>0</v>
      </c>
    </row>
    <row r="248" spans="1:15">
      <c r="A248" s="75" t="s">
        <v>100</v>
      </c>
      <c r="B248" t="str">
        <f t="shared" si="62"/>
        <v>R12_LAM</v>
      </c>
      <c r="C248" t="s">
        <v>549</v>
      </c>
      <c r="D248" t="s">
        <v>29</v>
      </c>
      <c r="E248">
        <v>0</v>
      </c>
      <c r="F248">
        <v>0</v>
      </c>
      <c r="G248">
        <v>2015</v>
      </c>
      <c r="N248">
        <v>0</v>
      </c>
      <c r="O248">
        <v>0</v>
      </c>
    </row>
    <row r="249" spans="1:15">
      <c r="A249" s="75" t="s">
        <v>100</v>
      </c>
      <c r="B249" t="str">
        <f t="shared" si="62"/>
        <v>R12_LAM</v>
      </c>
      <c r="C249" t="s">
        <v>549</v>
      </c>
      <c r="D249" t="s">
        <v>29</v>
      </c>
      <c r="E249">
        <v>0</v>
      </c>
      <c r="F249">
        <v>0</v>
      </c>
      <c r="G249">
        <v>2020</v>
      </c>
      <c r="N249">
        <v>0</v>
      </c>
      <c r="O249">
        <v>0</v>
      </c>
    </row>
    <row r="250" spans="1:15">
      <c r="A250" s="75" t="s">
        <v>101</v>
      </c>
      <c r="B250" t="str">
        <f t="shared" si="62"/>
        <v>R12_LAM</v>
      </c>
      <c r="C250" t="s">
        <v>549</v>
      </c>
      <c r="D250" t="s">
        <v>29</v>
      </c>
      <c r="E250">
        <v>0</v>
      </c>
      <c r="F250">
        <v>0</v>
      </c>
      <c r="G250">
        <v>2015</v>
      </c>
      <c r="N250">
        <v>0</v>
      </c>
      <c r="O250">
        <v>0</v>
      </c>
    </row>
    <row r="251" spans="1:15" ht="15.75" thickBot="1">
      <c r="A251" s="77" t="s">
        <v>101</v>
      </c>
      <c r="B251" s="78" t="str">
        <f>B250</f>
        <v>R12_LAM</v>
      </c>
      <c r="C251" t="s">
        <v>549</v>
      </c>
      <c r="D251" s="78" t="s">
        <v>29</v>
      </c>
      <c r="E251">
        <v>0</v>
      </c>
      <c r="F251">
        <v>0</v>
      </c>
      <c r="G251">
        <v>2020</v>
      </c>
      <c r="N251">
        <v>0</v>
      </c>
      <c r="O251">
        <v>0</v>
      </c>
    </row>
    <row r="252" spans="1:15">
      <c r="A252" s="72" t="s">
        <v>10</v>
      </c>
      <c r="B252" s="73" t="s">
        <v>447</v>
      </c>
      <c r="C252" t="s">
        <v>549</v>
      </c>
      <c r="D252" s="73" t="s">
        <v>29</v>
      </c>
      <c r="E252" s="106">
        <f>Calculations_caps!D44</f>
        <v>0.97050799999999993</v>
      </c>
      <c r="F252" s="138">
        <v>0</v>
      </c>
      <c r="G252">
        <v>2015</v>
      </c>
      <c r="I252" s="38" t="s">
        <v>281</v>
      </c>
      <c r="J252" t="s">
        <v>66</v>
      </c>
      <c r="K252" t="s">
        <v>282</v>
      </c>
      <c r="N252" s="106">
        <f>N254/0.06</f>
        <v>0.1</v>
      </c>
      <c r="O252" s="138">
        <f>(N252-0.0045/0.06)/2</f>
        <v>1.2500000000000004E-2</v>
      </c>
    </row>
    <row r="253" spans="1:15">
      <c r="A253" s="75" t="str">
        <f t="shared" ref="A253" si="63">A252</f>
        <v>mining_flotation_graphite</v>
      </c>
      <c r="B253" t="str">
        <f>B252</f>
        <v>R12_WEU</v>
      </c>
      <c r="C253" t="s">
        <v>549</v>
      </c>
      <c r="D253" t="str">
        <f t="shared" ref="D253" si="64">D252</f>
        <v>Mt</v>
      </c>
      <c r="E253" s="106">
        <f>Calculations_caps!D34</f>
        <v>0.37121930999999991</v>
      </c>
      <c r="F253" s="139">
        <v>0</v>
      </c>
      <c r="G253">
        <v>2020</v>
      </c>
      <c r="I253" s="38" t="s">
        <v>277</v>
      </c>
      <c r="J253" t="s">
        <v>276</v>
      </c>
      <c r="K253" t="s">
        <v>280</v>
      </c>
      <c r="N253" s="106">
        <f>N255/0.06</f>
        <v>0.13333333333333333</v>
      </c>
      <c r="O253" s="142">
        <f>(N253-N252)/5</f>
        <v>6.6666666666666654E-3</v>
      </c>
    </row>
    <row r="254" spans="1:15">
      <c r="A254" s="75" t="s">
        <v>43</v>
      </c>
      <c r="B254" t="str">
        <f t="shared" ref="B254:B300" si="65">B253</f>
        <v>R12_WEU</v>
      </c>
      <c r="C254" t="s">
        <v>549</v>
      </c>
      <c r="D254" t="s">
        <v>29</v>
      </c>
      <c r="E254" s="106">
        <f>Calculations_caps!E44</f>
        <v>0.1012</v>
      </c>
      <c r="F254" s="106">
        <v>0</v>
      </c>
      <c r="G254">
        <v>2015</v>
      </c>
      <c r="I254" s="38" t="s">
        <v>281</v>
      </c>
      <c r="N254" s="106">
        <f>0.006</f>
        <v>6.0000000000000001E-3</v>
      </c>
      <c r="O254" s="139">
        <f>(N254-0.0045)/2</f>
        <v>7.5000000000000023E-4</v>
      </c>
    </row>
    <row r="255" spans="1:15">
      <c r="A255" s="75" t="s">
        <v>43</v>
      </c>
      <c r="B255" t="str">
        <f t="shared" si="65"/>
        <v>R12_WEU</v>
      </c>
      <c r="C255" t="s">
        <v>549</v>
      </c>
      <c r="D255" t="s">
        <v>29</v>
      </c>
      <c r="E255" s="106">
        <f>Calculations_caps!E34</f>
        <v>3.8708999999999993E-2</v>
      </c>
      <c r="F255" s="106">
        <v>0</v>
      </c>
      <c r="G255">
        <v>2020</v>
      </c>
      <c r="I255" s="38" t="s">
        <v>277</v>
      </c>
      <c r="J255" t="s">
        <v>278</v>
      </c>
      <c r="N255" s="106">
        <f>0.008</f>
        <v>8.0000000000000002E-3</v>
      </c>
      <c r="O255" s="139">
        <f>(N255-N254)/5</f>
        <v>4.0000000000000002E-4</v>
      </c>
    </row>
    <row r="256" spans="1:15">
      <c r="A256" s="75" t="s">
        <v>61</v>
      </c>
      <c r="B256" t="str">
        <f t="shared" si="65"/>
        <v>R12_WEU</v>
      </c>
      <c r="C256" t="s">
        <v>549</v>
      </c>
      <c r="D256" t="s">
        <v>29</v>
      </c>
      <c r="E256" s="109">
        <v>1</v>
      </c>
      <c r="F256" s="109">
        <f>E256*0.1</f>
        <v>0.1</v>
      </c>
      <c r="G256">
        <v>2015</v>
      </c>
      <c r="N256" s="109">
        <v>5</v>
      </c>
      <c r="O256" s="109">
        <f>N256*0.1</f>
        <v>0.5</v>
      </c>
    </row>
    <row r="257" spans="1:15">
      <c r="A257" s="75" t="s">
        <v>62</v>
      </c>
      <c r="B257" t="str">
        <f t="shared" si="65"/>
        <v>R12_WEU</v>
      </c>
      <c r="C257" t="s">
        <v>549</v>
      </c>
      <c r="D257" t="s">
        <v>29</v>
      </c>
      <c r="E257" s="109">
        <v>1.5</v>
      </c>
      <c r="F257" s="109">
        <f>E257*0.1</f>
        <v>0.15000000000000002</v>
      </c>
      <c r="G257">
        <v>2020</v>
      </c>
      <c r="N257" s="109">
        <v>1.5</v>
      </c>
      <c r="O257" s="109">
        <f>N257*0.1</f>
        <v>0.15000000000000002</v>
      </c>
    </row>
    <row r="258" spans="1:15">
      <c r="A258" s="75" t="s">
        <v>63</v>
      </c>
      <c r="B258" t="str">
        <f t="shared" si="65"/>
        <v>R12_WEU</v>
      </c>
      <c r="C258" t="s">
        <v>549</v>
      </c>
      <c r="D258" t="s">
        <v>29</v>
      </c>
      <c r="E258" s="109">
        <v>0.36</v>
      </c>
      <c r="F258" s="109">
        <v>0.03</v>
      </c>
      <c r="G258">
        <v>2015</v>
      </c>
      <c r="N258" s="109">
        <v>0.36</v>
      </c>
      <c r="O258" s="109">
        <v>0.03</v>
      </c>
    </row>
    <row r="259" spans="1:15">
      <c r="A259" s="75" t="s">
        <v>61</v>
      </c>
      <c r="B259" t="str">
        <f t="shared" si="65"/>
        <v>R12_WEU</v>
      </c>
      <c r="C259" t="s">
        <v>549</v>
      </c>
      <c r="D259" t="s">
        <v>29</v>
      </c>
      <c r="E259" s="109">
        <v>1.5</v>
      </c>
      <c r="F259" s="109">
        <f>E259*0.1</f>
        <v>0.15000000000000002</v>
      </c>
      <c r="G259">
        <v>2020</v>
      </c>
      <c r="N259" s="109">
        <v>7</v>
      </c>
      <c r="O259" s="109">
        <f>N259*0.1</f>
        <v>0.70000000000000007</v>
      </c>
    </row>
    <row r="260" spans="1:15">
      <c r="A260" s="75" t="s">
        <v>62</v>
      </c>
      <c r="B260" t="str">
        <f t="shared" si="65"/>
        <v>R12_WEU</v>
      </c>
      <c r="C260" t="s">
        <v>549</v>
      </c>
      <c r="D260" t="s">
        <v>29</v>
      </c>
      <c r="E260" s="109">
        <v>2</v>
      </c>
      <c r="F260" s="109">
        <f>(E260-E257)/5</f>
        <v>0.1</v>
      </c>
      <c r="G260">
        <v>2015</v>
      </c>
      <c r="N260" s="109">
        <v>2</v>
      </c>
      <c r="O260" s="109">
        <f>(N260-N257)/5</f>
        <v>0.1</v>
      </c>
    </row>
    <row r="261" spans="1:15">
      <c r="A261" s="75" t="s">
        <v>63</v>
      </c>
      <c r="B261" t="str">
        <f t="shared" si="65"/>
        <v>R12_WEU</v>
      </c>
      <c r="C261" t="s">
        <v>549</v>
      </c>
      <c r="D261" t="s">
        <v>29</v>
      </c>
      <c r="E261" s="109">
        <v>0.9</v>
      </c>
      <c r="F261" s="109">
        <v>0.05</v>
      </c>
      <c r="G261">
        <v>2020</v>
      </c>
      <c r="N261" s="109">
        <v>0.9</v>
      </c>
      <c r="O261" s="109">
        <v>0.05</v>
      </c>
    </row>
    <row r="262" spans="1:15">
      <c r="A262" s="75" t="s">
        <v>64</v>
      </c>
      <c r="B262" t="str">
        <f t="shared" si="65"/>
        <v>R12_WEU</v>
      </c>
      <c r="C262" t="s">
        <v>549</v>
      </c>
      <c r="D262" t="s">
        <v>29</v>
      </c>
      <c r="E262">
        <v>0</v>
      </c>
      <c r="F262">
        <f>E262*0.1</f>
        <v>0</v>
      </c>
      <c r="G262">
        <v>2015</v>
      </c>
      <c r="N262">
        <v>6.2E-2</v>
      </c>
      <c r="O262">
        <f>N262*0.1</f>
        <v>6.2000000000000006E-3</v>
      </c>
    </row>
    <row r="263" spans="1:15">
      <c r="A263" s="75" t="s">
        <v>67</v>
      </c>
      <c r="B263" t="str">
        <f t="shared" si="65"/>
        <v>R12_WEU</v>
      </c>
      <c r="C263" t="s">
        <v>549</v>
      </c>
      <c r="D263" t="s">
        <v>29</v>
      </c>
      <c r="E263">
        <v>0</v>
      </c>
      <c r="F263">
        <v>0</v>
      </c>
      <c r="G263">
        <v>2020</v>
      </c>
      <c r="N263">
        <v>0</v>
      </c>
      <c r="O263">
        <v>0</v>
      </c>
    </row>
    <row r="264" spans="1:15">
      <c r="A264" s="75" t="s">
        <v>68</v>
      </c>
      <c r="B264" t="str">
        <f t="shared" si="65"/>
        <v>R12_WEU</v>
      </c>
      <c r="C264" t="s">
        <v>549</v>
      </c>
      <c r="D264" t="s">
        <v>29</v>
      </c>
      <c r="E264">
        <v>0.1</v>
      </c>
      <c r="F264">
        <f>E264*0.1</f>
        <v>1.0000000000000002E-2</v>
      </c>
      <c r="G264">
        <v>2015</v>
      </c>
      <c r="N264">
        <v>0.1</v>
      </c>
      <c r="O264">
        <f>N264*0.1</f>
        <v>1.0000000000000002E-2</v>
      </c>
    </row>
    <row r="265" spans="1:15">
      <c r="A265" s="75" t="s">
        <v>64</v>
      </c>
      <c r="B265" t="str">
        <f t="shared" si="65"/>
        <v>R12_WEU</v>
      </c>
      <c r="C265" t="s">
        <v>549</v>
      </c>
      <c r="D265" t="s">
        <v>29</v>
      </c>
      <c r="E265">
        <v>0</v>
      </c>
      <c r="F265">
        <f>(E265-E262)/5</f>
        <v>0</v>
      </c>
      <c r="G265">
        <v>2020</v>
      </c>
      <c r="N265">
        <f>0.0141+0.055</f>
        <v>6.9099999999999995E-2</v>
      </c>
      <c r="O265">
        <f>(N265-N262)/5</f>
        <v>1.419999999999999E-3</v>
      </c>
    </row>
    <row r="266" spans="1:15">
      <c r="A266" s="75" t="s">
        <v>67</v>
      </c>
      <c r="B266" t="str">
        <f t="shared" si="65"/>
        <v>R12_WEU</v>
      </c>
      <c r="C266" t="s">
        <v>549</v>
      </c>
      <c r="D266" t="s">
        <v>29</v>
      </c>
      <c r="E266">
        <v>0</v>
      </c>
      <c r="F266">
        <v>0</v>
      </c>
      <c r="G266">
        <v>2015</v>
      </c>
      <c r="N266">
        <v>0.14000000000000001</v>
      </c>
      <c r="O266">
        <f>(N266-N264)/5</f>
        <v>8.0000000000000019E-3</v>
      </c>
    </row>
    <row r="267" spans="1:15">
      <c r="A267" s="75" t="s">
        <v>68</v>
      </c>
      <c r="B267" t="str">
        <f t="shared" si="65"/>
        <v>R12_WEU</v>
      </c>
      <c r="C267" t="s">
        <v>549</v>
      </c>
      <c r="D267" t="s">
        <v>29</v>
      </c>
      <c r="E267">
        <v>0</v>
      </c>
      <c r="F267">
        <v>0</v>
      </c>
      <c r="G267">
        <v>2020</v>
      </c>
      <c r="N267">
        <v>0</v>
      </c>
      <c r="O267">
        <v>0</v>
      </c>
    </row>
    <row r="268" spans="1:15">
      <c r="A268" s="75" t="s">
        <v>71</v>
      </c>
      <c r="B268" t="str">
        <f t="shared" si="65"/>
        <v>R12_WEU</v>
      </c>
      <c r="C268" t="s">
        <v>549</v>
      </c>
      <c r="D268" t="s">
        <v>29</v>
      </c>
      <c r="E268">
        <v>0</v>
      </c>
      <c r="F268">
        <f>E268*0.1</f>
        <v>0</v>
      </c>
      <c r="G268">
        <v>2015</v>
      </c>
      <c r="N268">
        <f>0.295+0.021</f>
        <v>0.316</v>
      </c>
      <c r="O268">
        <f>N268*0.1</f>
        <v>3.1600000000000003E-2</v>
      </c>
    </row>
    <row r="269" spans="1:15">
      <c r="A269" s="75" t="s">
        <v>71</v>
      </c>
      <c r="B269" t="str">
        <f t="shared" si="65"/>
        <v>R12_WEU</v>
      </c>
      <c r="C269" t="s">
        <v>549</v>
      </c>
      <c r="D269" t="s">
        <v>29</v>
      </c>
      <c r="E269">
        <v>0</v>
      </c>
      <c r="F269">
        <f>(E269-E268)/5</f>
        <v>0</v>
      </c>
      <c r="G269">
        <v>2020</v>
      </c>
      <c r="N269">
        <v>0.49</v>
      </c>
      <c r="O269">
        <f>(N269-N268)/5</f>
        <v>3.4799999999999998E-2</v>
      </c>
    </row>
    <row r="270" spans="1:15">
      <c r="A270" s="75" t="s">
        <v>72</v>
      </c>
      <c r="B270" t="str">
        <f t="shared" si="65"/>
        <v>R12_WEU</v>
      </c>
      <c r="C270" t="s">
        <v>549</v>
      </c>
      <c r="D270" t="s">
        <v>29</v>
      </c>
      <c r="E270" s="80">
        <v>0</v>
      </c>
      <c r="F270" s="80">
        <f>E270*0.1</f>
        <v>0</v>
      </c>
      <c r="G270">
        <v>2015</v>
      </c>
      <c r="N270" s="80">
        <v>0.06</v>
      </c>
      <c r="O270" s="80">
        <f>N270*0.1</f>
        <v>6.0000000000000001E-3</v>
      </c>
    </row>
    <row r="271" spans="1:15">
      <c r="A271" s="75" t="s">
        <v>72</v>
      </c>
      <c r="B271" t="str">
        <f t="shared" si="65"/>
        <v>R12_WEU</v>
      </c>
      <c r="C271" t="s">
        <v>549</v>
      </c>
      <c r="D271" t="s">
        <v>29</v>
      </c>
      <c r="E271" s="80">
        <v>0</v>
      </c>
      <c r="F271" s="80">
        <f>(E271-E270)/5</f>
        <v>0</v>
      </c>
      <c r="G271">
        <v>2020</v>
      </c>
      <c r="N271" s="80">
        <v>0.17299999999999999</v>
      </c>
      <c r="O271" s="80">
        <f>(N271-N270)/5</f>
        <v>2.2599999999999999E-2</v>
      </c>
    </row>
    <row r="272" spans="1:15">
      <c r="A272" s="75" t="s">
        <v>73</v>
      </c>
      <c r="B272" t="str">
        <f t="shared" si="65"/>
        <v>R12_WEU</v>
      </c>
      <c r="C272" t="s">
        <v>549</v>
      </c>
      <c r="D272" t="s">
        <v>29</v>
      </c>
      <c r="E272" s="107">
        <v>0</v>
      </c>
      <c r="F272" s="107">
        <f>E272*0.1</f>
        <v>0</v>
      </c>
      <c r="G272">
        <v>2015</v>
      </c>
      <c r="N272" s="107">
        <v>0</v>
      </c>
      <c r="O272" s="107">
        <f>N272*0.1</f>
        <v>0</v>
      </c>
    </row>
    <row r="273" spans="1:15">
      <c r="A273" s="75" t="s">
        <v>73</v>
      </c>
      <c r="B273" t="str">
        <f t="shared" si="65"/>
        <v>R12_WEU</v>
      </c>
      <c r="C273" t="s">
        <v>549</v>
      </c>
      <c r="D273" t="s">
        <v>29</v>
      </c>
      <c r="E273" s="107">
        <v>0</v>
      </c>
      <c r="F273" s="107">
        <f>(E273-E272)/5</f>
        <v>0</v>
      </c>
      <c r="G273">
        <v>2020</v>
      </c>
      <c r="N273" s="107">
        <v>0</v>
      </c>
      <c r="O273" s="107">
        <f>(N273-N272)/5</f>
        <v>0</v>
      </c>
    </row>
    <row r="274" spans="1:15">
      <c r="A274" s="75" t="s">
        <v>75</v>
      </c>
      <c r="B274" t="str">
        <f t="shared" si="65"/>
        <v>R12_WEU</v>
      </c>
      <c r="C274" t="s">
        <v>549</v>
      </c>
      <c r="D274" t="s">
        <v>29</v>
      </c>
      <c r="E274" s="140">
        <f>9946/0.37/1000000</f>
        <v>2.688108108108108E-2</v>
      </c>
      <c r="F274" s="108">
        <f>(9946-9340)/0.37/1000000/2</f>
        <v>8.1891891891891901E-4</v>
      </c>
      <c r="G274">
        <v>2015</v>
      </c>
      <c r="I274" s="38" t="s">
        <v>288</v>
      </c>
      <c r="N274" s="108">
        <f>9946/0.37/1000000</f>
        <v>2.688108108108108E-2</v>
      </c>
      <c r="O274" s="108">
        <f>(9946-9340)/0.37/1000000/2</f>
        <v>8.1891891891891901E-4</v>
      </c>
    </row>
    <row r="275" spans="1:15">
      <c r="A275" s="75" t="s">
        <v>75</v>
      </c>
      <c r="B275" t="str">
        <f t="shared" si="65"/>
        <v>R12_WEU</v>
      </c>
      <c r="C275" t="s">
        <v>549</v>
      </c>
      <c r="D275" t="s">
        <v>29</v>
      </c>
      <c r="E275" s="140">
        <f>7129/0.37/1000000</f>
        <v>1.9267567567567565E-2</v>
      </c>
      <c r="F275" s="108">
        <v>0</v>
      </c>
      <c r="G275">
        <v>2020</v>
      </c>
      <c r="I275" s="38" t="s">
        <v>289</v>
      </c>
      <c r="N275" s="108">
        <f>7129/0.37/1000000</f>
        <v>1.9267567567567565E-2</v>
      </c>
      <c r="O275" s="108">
        <v>0</v>
      </c>
    </row>
    <row r="276" spans="1:15">
      <c r="A276" s="75" t="s">
        <v>79</v>
      </c>
      <c r="B276" t="str">
        <f t="shared" si="65"/>
        <v>R12_WEU</v>
      </c>
      <c r="C276" t="s">
        <v>549</v>
      </c>
      <c r="D276" t="s">
        <v>29</v>
      </c>
      <c r="E276" s="107">
        <v>0</v>
      </c>
      <c r="F276" s="107">
        <v>0</v>
      </c>
      <c r="G276">
        <v>2015</v>
      </c>
      <c r="N276" s="107">
        <v>0</v>
      </c>
      <c r="O276" s="107">
        <v>0</v>
      </c>
    </row>
    <row r="277" spans="1:15">
      <c r="A277" s="75" t="s">
        <v>79</v>
      </c>
      <c r="B277" t="str">
        <f t="shared" si="65"/>
        <v>R12_WEU</v>
      </c>
      <c r="C277" t="s">
        <v>549</v>
      </c>
      <c r="D277" t="s">
        <v>29</v>
      </c>
      <c r="E277" s="107">
        <v>0</v>
      </c>
      <c r="F277" s="107">
        <v>0</v>
      </c>
      <c r="G277">
        <v>2020</v>
      </c>
      <c r="N277" s="107">
        <v>0</v>
      </c>
      <c r="O277" s="107">
        <v>0</v>
      </c>
    </row>
    <row r="278" spans="1:15">
      <c r="A278" s="75" t="s">
        <v>80</v>
      </c>
      <c r="B278" t="str">
        <f t="shared" si="65"/>
        <v>R12_WEU</v>
      </c>
      <c r="C278" t="s">
        <v>549</v>
      </c>
      <c r="D278" t="s">
        <v>29</v>
      </c>
      <c r="E278" s="108">
        <v>0</v>
      </c>
      <c r="F278" s="108">
        <v>0</v>
      </c>
      <c r="G278">
        <v>2015</v>
      </c>
      <c r="I278" t="s">
        <v>448</v>
      </c>
      <c r="N278" s="108">
        <f>2600/0.6344/1000000</f>
        <v>4.0983606557377051E-3</v>
      </c>
      <c r="O278" s="108">
        <f>50/0.6344/1000000</f>
        <v>7.8814627994955864E-5</v>
      </c>
    </row>
    <row r="279" spans="1:15">
      <c r="A279" s="75" t="s">
        <v>80</v>
      </c>
      <c r="B279" t="str">
        <f t="shared" si="65"/>
        <v>R12_WEU</v>
      </c>
      <c r="C279" t="s">
        <v>549</v>
      </c>
      <c r="D279" t="s">
        <v>29</v>
      </c>
      <c r="E279" s="108">
        <v>0</v>
      </c>
      <c r="F279" s="108">
        <v>0</v>
      </c>
      <c r="G279">
        <v>2020</v>
      </c>
      <c r="I279" t="s">
        <v>449</v>
      </c>
      <c r="N279" s="108">
        <f>2600/0.6344/1000000</f>
        <v>4.0983606557377051E-3</v>
      </c>
      <c r="O279" s="108">
        <v>0</v>
      </c>
    </row>
    <row r="280" spans="1:15">
      <c r="A280" s="75" t="s">
        <v>81</v>
      </c>
      <c r="B280" t="str">
        <f t="shared" si="65"/>
        <v>R12_WEU</v>
      </c>
      <c r="C280" t="s">
        <v>549</v>
      </c>
      <c r="D280" t="s">
        <v>29</v>
      </c>
      <c r="E280" s="13">
        <v>0</v>
      </c>
      <c r="F280" s="56">
        <f>E280*0.1</f>
        <v>0</v>
      </c>
      <c r="G280">
        <v>2015</v>
      </c>
      <c r="N280" s="13">
        <v>4.8943E-2</v>
      </c>
      <c r="O280" s="56">
        <f>N280*0.1</f>
        <v>4.8943000000000007E-3</v>
      </c>
    </row>
    <row r="281" spans="1:15">
      <c r="A281" s="75" t="s">
        <v>81</v>
      </c>
      <c r="B281" t="str">
        <f t="shared" si="65"/>
        <v>R12_WEU</v>
      </c>
      <c r="C281" t="s">
        <v>549</v>
      </c>
      <c r="D281" t="s">
        <v>29</v>
      </c>
      <c r="E281" s="13">
        <v>0</v>
      </c>
      <c r="F281" s="56">
        <f>(E281-E280)/5</f>
        <v>0</v>
      </c>
      <c r="G281">
        <v>2020</v>
      </c>
      <c r="N281" s="13">
        <v>6.4276E-2</v>
      </c>
      <c r="O281" s="56">
        <f>(N281-N280)/5</f>
        <v>3.0666000000000001E-3</v>
      </c>
    </row>
    <row r="282" spans="1:15">
      <c r="A282" s="75" t="s">
        <v>86</v>
      </c>
      <c r="B282" t="str">
        <f t="shared" si="65"/>
        <v>R12_WEU</v>
      </c>
      <c r="C282" t="s">
        <v>549</v>
      </c>
      <c r="D282" t="s">
        <v>29</v>
      </c>
      <c r="E282">
        <v>0</v>
      </c>
      <c r="F282">
        <f>E282*0.1</f>
        <v>0</v>
      </c>
      <c r="G282">
        <v>2015</v>
      </c>
    </row>
    <row r="283" spans="1:15">
      <c r="A283" s="75" t="s">
        <v>86</v>
      </c>
      <c r="B283" t="str">
        <f t="shared" si="65"/>
        <v>R12_WEU</v>
      </c>
      <c r="C283" t="s">
        <v>549</v>
      </c>
      <c r="D283" t="s">
        <v>29</v>
      </c>
      <c r="E283">
        <v>0</v>
      </c>
      <c r="F283">
        <f>(E283-E282)/5</f>
        <v>0</v>
      </c>
      <c r="G283">
        <v>2020</v>
      </c>
    </row>
    <row r="284" spans="1:15">
      <c r="A284" s="75" t="s">
        <v>87</v>
      </c>
      <c r="B284" t="str">
        <f t="shared" si="65"/>
        <v>R12_WEU</v>
      </c>
      <c r="C284" t="s">
        <v>549</v>
      </c>
      <c r="D284" t="s">
        <v>29</v>
      </c>
      <c r="E284" s="56">
        <f>E318*Graphite_format!F277</f>
        <v>3.0250967606392392E-3</v>
      </c>
      <c r="F284" s="56">
        <f>F285*(E284/E285)</f>
        <v>5.041827934398732E-4</v>
      </c>
      <c r="G284">
        <v>2015</v>
      </c>
      <c r="N284">
        <v>1</v>
      </c>
      <c r="O284">
        <f>N284*0.1</f>
        <v>0.1</v>
      </c>
    </row>
    <row r="285" spans="1:15">
      <c r="A285" s="75" t="s">
        <v>87</v>
      </c>
      <c r="B285" t="str">
        <f t="shared" si="65"/>
        <v>R12_WEU</v>
      </c>
      <c r="C285" t="s">
        <v>549</v>
      </c>
      <c r="D285" t="s">
        <v>29</v>
      </c>
      <c r="E285" s="169">
        <f>E319*Graphite_format!F277</f>
        <v>1.8150580563835436E-2</v>
      </c>
      <c r="F285" s="56">
        <f>(E285-E284)/5</f>
        <v>3.0250967606392397E-3</v>
      </c>
      <c r="G285">
        <v>2020</v>
      </c>
      <c r="N285" s="80">
        <v>1</v>
      </c>
      <c r="O285">
        <f t="shared" ref="O285:O299" si="66">N285*0.1</f>
        <v>0.1</v>
      </c>
    </row>
    <row r="286" spans="1:15">
      <c r="A286" s="75" t="s">
        <v>89</v>
      </c>
      <c r="B286" t="str">
        <f t="shared" si="65"/>
        <v>R12_WEU</v>
      </c>
      <c r="C286" t="s">
        <v>549</v>
      </c>
      <c r="D286" t="s">
        <v>29</v>
      </c>
      <c r="E286" s="56">
        <f>E320*Graphite_format!F287</f>
        <v>1.577527730024075E-2</v>
      </c>
      <c r="F286" s="56">
        <f>F287*(E286/E287)</f>
        <v>2.3662915950361124E-3</v>
      </c>
      <c r="G286">
        <v>2015</v>
      </c>
      <c r="N286">
        <v>1</v>
      </c>
      <c r="O286">
        <f t="shared" si="66"/>
        <v>0.1</v>
      </c>
    </row>
    <row r="287" spans="1:15">
      <c r="A287" s="75" t="s">
        <v>89</v>
      </c>
      <c r="B287" t="str">
        <f t="shared" si="65"/>
        <v>R12_WEU</v>
      </c>
      <c r="C287" t="s">
        <v>549</v>
      </c>
      <c r="D287" t="s">
        <v>29</v>
      </c>
      <c r="E287" s="169">
        <f>E313*Graphite_format!F287</f>
        <v>6.3101109200962999E-2</v>
      </c>
      <c r="F287" s="56">
        <f>(E287-E286)/5</f>
        <v>9.4651663801444495E-3</v>
      </c>
      <c r="G287">
        <v>2020</v>
      </c>
      <c r="N287" s="80">
        <v>1</v>
      </c>
      <c r="O287">
        <f t="shared" si="66"/>
        <v>0.1</v>
      </c>
    </row>
    <row r="288" spans="1:15">
      <c r="A288" s="75" t="s">
        <v>92</v>
      </c>
      <c r="B288" t="str">
        <f t="shared" si="65"/>
        <v>R12_WEU</v>
      </c>
      <c r="C288" t="s">
        <v>549</v>
      </c>
      <c r="D288" t="s">
        <v>29</v>
      </c>
      <c r="E288" s="56">
        <f>E322*Graphite_format!F297</f>
        <v>1.4020265644255783E-2</v>
      </c>
      <c r="F288" s="56">
        <f>F289*(E288/E289)</f>
        <v>2.1030398466383672E-3</v>
      </c>
      <c r="G288">
        <v>2015</v>
      </c>
    </row>
    <row r="289" spans="1:15">
      <c r="A289" s="75" t="s">
        <v>92</v>
      </c>
      <c r="B289" t="str">
        <f t="shared" si="65"/>
        <v>R12_WEU</v>
      </c>
      <c r="C289" t="s">
        <v>549</v>
      </c>
      <c r="D289" t="s">
        <v>29</v>
      </c>
      <c r="E289" s="56">
        <f>E323*Graphite_format!F297</f>
        <v>5.6081062577023132E-2</v>
      </c>
      <c r="F289" s="56">
        <f>(E289-E288)/5</f>
        <v>8.4121593865534687E-3</v>
      </c>
      <c r="G289">
        <v>2020</v>
      </c>
    </row>
    <row r="290" spans="1:15">
      <c r="A290" s="75" t="s">
        <v>95</v>
      </c>
      <c r="B290" t="str">
        <f t="shared" si="65"/>
        <v>R12_WEU</v>
      </c>
      <c r="C290" t="s">
        <v>549</v>
      </c>
      <c r="D290" t="s">
        <v>29</v>
      </c>
      <c r="E290" s="56">
        <f>E324*Graphite_format!F307</f>
        <v>3.9280955998632064E-3</v>
      </c>
      <c r="F290" s="56">
        <f>F291*(E290/E291)</f>
        <v>6.5468259997720102E-4</v>
      </c>
      <c r="G290">
        <v>2015</v>
      </c>
      <c r="N290">
        <v>1</v>
      </c>
      <c r="O290">
        <f t="shared" si="66"/>
        <v>0.1</v>
      </c>
    </row>
    <row r="291" spans="1:15">
      <c r="A291" s="75" t="s">
        <v>95</v>
      </c>
      <c r="B291" t="str">
        <f t="shared" si="65"/>
        <v>R12_WEU</v>
      </c>
      <c r="C291" t="s">
        <v>549</v>
      </c>
      <c r="D291" t="s">
        <v>29</v>
      </c>
      <c r="E291" s="56">
        <f>E325*Graphite_format!F307</f>
        <v>2.356857359917924E-2</v>
      </c>
      <c r="F291" s="56">
        <f>(E291-E290)/5</f>
        <v>3.9280955998632064E-3</v>
      </c>
      <c r="G291">
        <v>2020</v>
      </c>
      <c r="N291">
        <v>1</v>
      </c>
      <c r="O291">
        <f t="shared" si="66"/>
        <v>0.1</v>
      </c>
    </row>
    <row r="292" spans="1:15">
      <c r="A292" s="75" t="s">
        <v>97</v>
      </c>
      <c r="B292" t="str">
        <f t="shared" si="65"/>
        <v>R12_WEU</v>
      </c>
      <c r="C292" t="s">
        <v>549</v>
      </c>
      <c r="D292" t="s">
        <v>29</v>
      </c>
      <c r="E292" s="56">
        <f>E318*Graphite_format!F278</f>
        <v>5.8523321350595703E-3</v>
      </c>
      <c r="F292" s="56">
        <f>F293*(E292/E293)</f>
        <v>9.7538868917659513E-4</v>
      </c>
      <c r="G292">
        <v>2015</v>
      </c>
      <c r="N292">
        <v>1</v>
      </c>
      <c r="O292">
        <f t="shared" si="66"/>
        <v>0.1</v>
      </c>
    </row>
    <row r="293" spans="1:15">
      <c r="A293" s="75" t="s">
        <v>97</v>
      </c>
      <c r="B293" t="str">
        <f t="shared" si="65"/>
        <v>R12_WEU</v>
      </c>
      <c r="C293" t="s">
        <v>549</v>
      </c>
      <c r="D293" t="s">
        <v>29</v>
      </c>
      <c r="E293" s="56">
        <f>E319*Graphite_format!F278</f>
        <v>3.5113992810357424E-2</v>
      </c>
      <c r="F293" s="56">
        <f>(E293-E292)/5</f>
        <v>5.8523321350595712E-3</v>
      </c>
      <c r="G293">
        <v>2020</v>
      </c>
      <c r="N293">
        <v>1</v>
      </c>
      <c r="O293">
        <f t="shared" si="66"/>
        <v>0.1</v>
      </c>
    </row>
    <row r="294" spans="1:15">
      <c r="A294" s="75" t="s">
        <v>98</v>
      </c>
      <c r="B294" t="str">
        <f t="shared" si="65"/>
        <v>R12_WEU</v>
      </c>
      <c r="C294" t="s">
        <v>549</v>
      </c>
      <c r="D294" t="s">
        <v>29</v>
      </c>
      <c r="E294" s="56">
        <f>E320*Graphite_format!F288</f>
        <v>2.541766298815603E-2</v>
      </c>
      <c r="F294" s="56">
        <f>F295*(E294/E295)</f>
        <v>3.8126494482234041E-3</v>
      </c>
      <c r="G294">
        <v>2015</v>
      </c>
      <c r="N294">
        <v>1</v>
      </c>
      <c r="O294">
        <f t="shared" si="66"/>
        <v>0.1</v>
      </c>
    </row>
    <row r="295" spans="1:15">
      <c r="A295" s="75" t="s">
        <v>98</v>
      </c>
      <c r="B295" t="str">
        <f t="shared" si="65"/>
        <v>R12_WEU</v>
      </c>
      <c r="C295" t="s">
        <v>549</v>
      </c>
      <c r="D295" t="s">
        <v>29</v>
      </c>
      <c r="E295" s="56">
        <f>E321*Graphite_format!F288</f>
        <v>0.10167065195262412</v>
      </c>
      <c r="F295" s="56">
        <f>(E295-E294)/5</f>
        <v>1.5250597792893617E-2</v>
      </c>
      <c r="G295">
        <v>2020</v>
      </c>
      <c r="N295">
        <v>1</v>
      </c>
      <c r="O295">
        <f t="shared" si="66"/>
        <v>0.1</v>
      </c>
    </row>
    <row r="296" spans="1:15">
      <c r="A296" s="75" t="s">
        <v>99</v>
      </c>
      <c r="B296" t="str">
        <f t="shared" si="65"/>
        <v>R12_WEU</v>
      </c>
      <c r="C296" t="s">
        <v>549</v>
      </c>
      <c r="D296" t="s">
        <v>29</v>
      </c>
      <c r="E296" s="56">
        <f>E322*Graphite_format!F298</f>
        <v>3.1910641745401438E-2</v>
      </c>
      <c r="F296" s="56">
        <f>F297*(E296/E297)</f>
        <v>4.7865962618102156E-3</v>
      </c>
      <c r="G296">
        <v>2015</v>
      </c>
    </row>
    <row r="297" spans="1:15">
      <c r="A297" s="75" t="s">
        <v>99</v>
      </c>
      <c r="B297" t="str">
        <f t="shared" si="65"/>
        <v>R12_WEU</v>
      </c>
      <c r="C297" t="s">
        <v>549</v>
      </c>
      <c r="D297" t="s">
        <v>29</v>
      </c>
      <c r="E297" s="56">
        <f>E323*Graphite_format!F298</f>
        <v>0.12764256698160575</v>
      </c>
      <c r="F297" s="56">
        <f>(E297-E296)/5</f>
        <v>1.9146385047240862E-2</v>
      </c>
      <c r="G297">
        <v>2020</v>
      </c>
    </row>
    <row r="298" spans="1:15">
      <c r="A298" s="75" t="s">
        <v>100</v>
      </c>
      <c r="B298" t="str">
        <f t="shared" si="65"/>
        <v>R12_WEU</v>
      </c>
      <c r="C298" t="s">
        <v>549</v>
      </c>
      <c r="D298" t="s">
        <v>29</v>
      </c>
      <c r="E298" s="56">
        <f>E324*Graphite_format!F308</f>
        <v>6.0126957108206933E-3</v>
      </c>
      <c r="F298" s="56">
        <f>F299*(E298/E299)</f>
        <v>1.002115951803449E-3</v>
      </c>
      <c r="G298">
        <v>2015</v>
      </c>
      <c r="N298">
        <v>1</v>
      </c>
      <c r="O298">
        <f t="shared" si="66"/>
        <v>0.1</v>
      </c>
    </row>
    <row r="299" spans="1:15">
      <c r="A299" s="75" t="s">
        <v>100</v>
      </c>
      <c r="B299" t="str">
        <f t="shared" si="65"/>
        <v>R12_WEU</v>
      </c>
      <c r="C299" t="s">
        <v>549</v>
      </c>
      <c r="D299" t="s">
        <v>29</v>
      </c>
      <c r="E299" s="56">
        <f>E325*Graphite_format!F308</f>
        <v>3.6076174264924162E-2</v>
      </c>
      <c r="F299" s="56">
        <f>(E299-E298)/5</f>
        <v>6.0126957108206942E-3</v>
      </c>
      <c r="G299">
        <v>2020</v>
      </c>
      <c r="N299">
        <v>1</v>
      </c>
      <c r="O299">
        <f t="shared" si="66"/>
        <v>0.1</v>
      </c>
    </row>
    <row r="300" spans="1:15">
      <c r="A300" s="75" t="s">
        <v>101</v>
      </c>
      <c r="B300" t="str">
        <f t="shared" si="65"/>
        <v>R12_WEU</v>
      </c>
      <c r="C300" t="s">
        <v>549</v>
      </c>
      <c r="D300" t="s">
        <v>29</v>
      </c>
      <c r="E300">
        <v>12.5</v>
      </c>
      <c r="F300">
        <f>E300*0.1</f>
        <v>1.25</v>
      </c>
      <c r="G300">
        <v>2015</v>
      </c>
      <c r="N300">
        <v>12.5</v>
      </c>
      <c r="O300">
        <f>N300*0.1</f>
        <v>1.25</v>
      </c>
    </row>
    <row r="301" spans="1:15" ht="15.75" thickBot="1">
      <c r="A301" s="75" t="s">
        <v>101</v>
      </c>
      <c r="B301" t="str">
        <f>B300</f>
        <v>R12_WEU</v>
      </c>
      <c r="C301" t="s">
        <v>549</v>
      </c>
      <c r="D301" t="s">
        <v>29</v>
      </c>
      <c r="E301">
        <v>14.5</v>
      </c>
      <c r="F301" s="78">
        <f>(E301-E300)/5</f>
        <v>0.4</v>
      </c>
      <c r="G301">
        <v>2020</v>
      </c>
      <c r="N301" s="78">
        <v>14.5</v>
      </c>
      <c r="O301" s="78">
        <f>(N301-N300)/5</f>
        <v>0.4</v>
      </c>
    </row>
    <row r="302" spans="1:15">
      <c r="A302" s="107" t="s">
        <v>113</v>
      </c>
      <c r="B302" s="107" t="s">
        <v>290</v>
      </c>
      <c r="C302" t="s">
        <v>549</v>
      </c>
      <c r="D302" s="107" t="s">
        <v>114</v>
      </c>
      <c r="E302" s="107">
        <f>I302*10</f>
        <v>10</v>
      </c>
      <c r="F302" s="7">
        <f>F303*(E302/E303)</f>
        <v>1.6666666666666665</v>
      </c>
      <c r="G302">
        <v>2015</v>
      </c>
      <c r="I302" s="143">
        <v>1</v>
      </c>
      <c r="N302" s="143">
        <v>1</v>
      </c>
      <c r="O302" s="143">
        <v>0.1</v>
      </c>
    </row>
    <row r="303" spans="1:15">
      <c r="A303" s="107" t="s">
        <v>113</v>
      </c>
      <c r="B303" s="107" t="s">
        <v>290</v>
      </c>
      <c r="C303" t="s">
        <v>549</v>
      </c>
      <c r="D303" s="107" t="s">
        <v>114</v>
      </c>
      <c r="E303" s="107">
        <f t="shared" ref="E303:E325" si="67">I303*20</f>
        <v>60</v>
      </c>
      <c r="F303" s="7">
        <f>(E303-E302)/5</f>
        <v>10</v>
      </c>
      <c r="G303">
        <v>2020</v>
      </c>
      <c r="I303" s="107">
        <v>3</v>
      </c>
      <c r="N303" s="107">
        <v>3</v>
      </c>
      <c r="O303" s="107">
        <f>(N303-N302)/5</f>
        <v>0.4</v>
      </c>
    </row>
    <row r="304" spans="1:15">
      <c r="A304" s="107" t="s">
        <v>107</v>
      </c>
      <c r="B304" s="107" t="s">
        <v>290</v>
      </c>
      <c r="C304" t="s">
        <v>549</v>
      </c>
      <c r="D304" s="107" t="s">
        <v>114</v>
      </c>
      <c r="E304" s="107">
        <f>I304*10</f>
        <v>40</v>
      </c>
      <c r="F304" s="7">
        <f>F305*(E304/E305)</f>
        <v>6</v>
      </c>
      <c r="G304">
        <v>2015</v>
      </c>
      <c r="I304" s="107">
        <v>4</v>
      </c>
      <c r="N304" s="107">
        <v>4</v>
      </c>
      <c r="O304" s="107">
        <f>N304/10</f>
        <v>0.4</v>
      </c>
    </row>
    <row r="305" spans="1:15">
      <c r="A305" s="107" t="s">
        <v>107</v>
      </c>
      <c r="B305" s="107" t="s">
        <v>290</v>
      </c>
      <c r="C305" t="s">
        <v>549</v>
      </c>
      <c r="D305" s="107" t="s">
        <v>114</v>
      </c>
      <c r="E305" s="107">
        <f t="shared" si="67"/>
        <v>160</v>
      </c>
      <c r="F305" s="7">
        <f>(E305-E304)/5</f>
        <v>24</v>
      </c>
      <c r="G305">
        <v>2020</v>
      </c>
      <c r="I305" s="107">
        <v>8</v>
      </c>
      <c r="N305" s="107">
        <v>8</v>
      </c>
      <c r="O305" s="107">
        <f>(N305-N304)/5</f>
        <v>0.8</v>
      </c>
    </row>
    <row r="306" spans="1:15">
      <c r="A306" s="107" t="s">
        <v>108</v>
      </c>
      <c r="B306" s="107" t="s">
        <v>290</v>
      </c>
      <c r="C306" t="s">
        <v>549</v>
      </c>
      <c r="D306" s="107" t="s">
        <v>114</v>
      </c>
      <c r="E306" s="107">
        <f>I306*10</f>
        <v>40</v>
      </c>
      <c r="F306" s="7">
        <f>F307*(E306/E307)</f>
        <v>6</v>
      </c>
      <c r="G306">
        <v>2015</v>
      </c>
      <c r="I306" s="107">
        <v>4</v>
      </c>
      <c r="N306" s="107"/>
      <c r="O306" s="107"/>
    </row>
    <row r="307" spans="1:15">
      <c r="A307" s="107" t="s">
        <v>108</v>
      </c>
      <c r="B307" s="107" t="s">
        <v>290</v>
      </c>
      <c r="C307" t="s">
        <v>549</v>
      </c>
      <c r="D307" s="107" t="s">
        <v>114</v>
      </c>
      <c r="E307" s="107">
        <f t="shared" si="67"/>
        <v>160</v>
      </c>
      <c r="F307" s="7">
        <f>(E307-E306)/5</f>
        <v>24</v>
      </c>
      <c r="G307">
        <v>2020</v>
      </c>
      <c r="I307" s="107">
        <v>8</v>
      </c>
      <c r="N307" s="107"/>
      <c r="O307" s="107"/>
    </row>
    <row r="308" spans="1:15">
      <c r="A308" s="107" t="s">
        <v>109</v>
      </c>
      <c r="B308" s="107" t="s">
        <v>290</v>
      </c>
      <c r="C308" t="s">
        <v>549</v>
      </c>
      <c r="D308" s="107" t="s">
        <v>114</v>
      </c>
      <c r="E308" s="107">
        <f>I308*10</f>
        <v>10</v>
      </c>
      <c r="F308" s="7">
        <f>F309*(E308/E309)</f>
        <v>1.6666666666666665</v>
      </c>
      <c r="G308">
        <v>2015</v>
      </c>
      <c r="I308" s="107">
        <v>1</v>
      </c>
      <c r="N308" s="107">
        <v>1</v>
      </c>
      <c r="O308" s="107">
        <v>0.1</v>
      </c>
    </row>
    <row r="309" spans="1:15" ht="15.75" thickBot="1">
      <c r="A309" s="107" t="s">
        <v>109</v>
      </c>
      <c r="B309" s="107" t="s">
        <v>290</v>
      </c>
      <c r="C309" t="s">
        <v>549</v>
      </c>
      <c r="D309" s="107" t="s">
        <v>114</v>
      </c>
      <c r="E309" s="107">
        <f t="shared" si="67"/>
        <v>60</v>
      </c>
      <c r="F309" s="7">
        <f>(E309-E308)/5</f>
        <v>10</v>
      </c>
      <c r="G309">
        <v>2020</v>
      </c>
      <c r="I309" s="107">
        <v>3</v>
      </c>
      <c r="N309" s="107">
        <v>3</v>
      </c>
      <c r="O309" s="107">
        <f>(N309-N308)/5</f>
        <v>0.4</v>
      </c>
    </row>
    <row r="310" spans="1:15" ht="15.75" thickBot="1">
      <c r="A310" s="107" t="s">
        <v>113</v>
      </c>
      <c r="B310" s="107" t="s">
        <v>443</v>
      </c>
      <c r="C310" t="s">
        <v>549</v>
      </c>
      <c r="D310" s="107" t="s">
        <v>114</v>
      </c>
      <c r="E310" s="107">
        <f>I310*10</f>
        <v>5</v>
      </c>
      <c r="F310" s="7">
        <f>F311*(E310/E311)</f>
        <v>0.83333333333333326</v>
      </c>
      <c r="G310">
        <v>2015</v>
      </c>
      <c r="I310" s="143">
        <f>I302*0.5</f>
        <v>0.5</v>
      </c>
      <c r="N310" s="143">
        <f>N302*0.5</f>
        <v>0.5</v>
      </c>
      <c r="O310" s="143">
        <v>0.1</v>
      </c>
    </row>
    <row r="311" spans="1:15" ht="15.75" thickBot="1">
      <c r="A311" s="107" t="s">
        <v>113</v>
      </c>
      <c r="B311" s="107" t="str">
        <f>B310</f>
        <v>R12_NAM</v>
      </c>
      <c r="C311" t="s">
        <v>549</v>
      </c>
      <c r="D311" s="107" t="s">
        <v>114</v>
      </c>
      <c r="E311" s="107">
        <f t="shared" si="67"/>
        <v>30</v>
      </c>
      <c r="F311" s="7">
        <f>(E311-E310)/5</f>
        <v>5</v>
      </c>
      <c r="G311">
        <v>2020</v>
      </c>
      <c r="I311" s="143">
        <f t="shared" ref="I311:I317" si="68">I303*0.5</f>
        <v>1.5</v>
      </c>
      <c r="N311" s="143">
        <f t="shared" ref="N311:N317" si="69">N303*0.5</f>
        <v>1.5</v>
      </c>
      <c r="O311" s="107">
        <f>(N311-N310)/5</f>
        <v>0.2</v>
      </c>
    </row>
    <row r="312" spans="1:15" ht="15.75" thickBot="1">
      <c r="A312" s="107" t="s">
        <v>107</v>
      </c>
      <c r="B312" s="107" t="str">
        <f t="shared" ref="B312:B317" si="70">B311</f>
        <v>R12_NAM</v>
      </c>
      <c r="C312" t="s">
        <v>549</v>
      </c>
      <c r="D312" s="107" t="s">
        <v>114</v>
      </c>
      <c r="E312" s="107">
        <f>I312*10</f>
        <v>20</v>
      </c>
      <c r="F312" s="7">
        <f>F313*(E312/E313)</f>
        <v>3</v>
      </c>
      <c r="G312">
        <v>2015</v>
      </c>
      <c r="I312" s="143">
        <f t="shared" si="68"/>
        <v>2</v>
      </c>
      <c r="N312" s="143">
        <f t="shared" si="69"/>
        <v>2</v>
      </c>
      <c r="O312" s="107">
        <f>N312/10</f>
        <v>0.2</v>
      </c>
    </row>
    <row r="313" spans="1:15" ht="15.75" thickBot="1">
      <c r="A313" s="107" t="s">
        <v>107</v>
      </c>
      <c r="B313" s="107" t="str">
        <f t="shared" si="70"/>
        <v>R12_NAM</v>
      </c>
      <c r="C313" t="s">
        <v>549</v>
      </c>
      <c r="D313" s="107" t="s">
        <v>114</v>
      </c>
      <c r="E313" s="107">
        <f t="shared" si="67"/>
        <v>80</v>
      </c>
      <c r="F313" s="7">
        <f>(E313-E312)/5</f>
        <v>12</v>
      </c>
      <c r="G313">
        <v>2020</v>
      </c>
      <c r="I313" s="143">
        <f t="shared" si="68"/>
        <v>4</v>
      </c>
      <c r="N313" s="143">
        <f t="shared" si="69"/>
        <v>4</v>
      </c>
      <c r="O313" s="107">
        <f>(N313-N312)/5</f>
        <v>0.4</v>
      </c>
    </row>
    <row r="314" spans="1:15" ht="15.75" thickBot="1">
      <c r="A314" s="107" t="s">
        <v>108</v>
      </c>
      <c r="B314" s="107" t="str">
        <f t="shared" si="70"/>
        <v>R12_NAM</v>
      </c>
      <c r="C314" t="s">
        <v>549</v>
      </c>
      <c r="D314" s="107" t="s">
        <v>114</v>
      </c>
      <c r="E314" s="107">
        <f>I314*10</f>
        <v>20</v>
      </c>
      <c r="F314" s="7">
        <f>F315*(E314/E315)</f>
        <v>3</v>
      </c>
      <c r="G314">
        <v>2015</v>
      </c>
      <c r="I314" s="143">
        <f t="shared" si="68"/>
        <v>2</v>
      </c>
      <c r="N314" s="143"/>
      <c r="O314" s="107"/>
    </row>
    <row r="315" spans="1:15" ht="15.75" thickBot="1">
      <c r="A315" s="107" t="s">
        <v>108</v>
      </c>
      <c r="B315" s="107" t="str">
        <f t="shared" si="70"/>
        <v>R12_NAM</v>
      </c>
      <c r="C315" t="s">
        <v>549</v>
      </c>
      <c r="D315" s="107" t="s">
        <v>114</v>
      </c>
      <c r="E315" s="107">
        <f t="shared" si="67"/>
        <v>80</v>
      </c>
      <c r="F315" s="7">
        <f>(E315-E314)/5</f>
        <v>12</v>
      </c>
      <c r="G315">
        <v>2020</v>
      </c>
      <c r="I315" s="143">
        <f t="shared" si="68"/>
        <v>4</v>
      </c>
      <c r="N315" s="143"/>
      <c r="O315" s="107"/>
    </row>
    <row r="316" spans="1:15" ht="15.75" thickBot="1">
      <c r="A316" s="107" t="s">
        <v>109</v>
      </c>
      <c r="B316" s="107" t="str">
        <f t="shared" si="70"/>
        <v>R12_NAM</v>
      </c>
      <c r="C316" t="s">
        <v>549</v>
      </c>
      <c r="D316" s="107" t="s">
        <v>114</v>
      </c>
      <c r="E316" s="107">
        <f>I316*10</f>
        <v>5</v>
      </c>
      <c r="F316" s="7">
        <f>F317*(E316/E317)</f>
        <v>0.83333333333333326</v>
      </c>
      <c r="G316">
        <v>2015</v>
      </c>
      <c r="I316" s="143">
        <f t="shared" si="68"/>
        <v>0.5</v>
      </c>
      <c r="N316" s="143">
        <f t="shared" si="69"/>
        <v>0.5</v>
      </c>
      <c r="O316" s="107">
        <v>0.1</v>
      </c>
    </row>
    <row r="317" spans="1:15" ht="15.75" thickBot="1">
      <c r="A317" s="107" t="s">
        <v>109</v>
      </c>
      <c r="B317" s="107" t="str">
        <f t="shared" si="70"/>
        <v>R12_NAM</v>
      </c>
      <c r="C317" t="s">
        <v>549</v>
      </c>
      <c r="D317" s="107" t="s">
        <v>114</v>
      </c>
      <c r="E317" s="107">
        <f t="shared" si="67"/>
        <v>30</v>
      </c>
      <c r="F317" s="7">
        <f>(E317-E316)/5</f>
        <v>5</v>
      </c>
      <c r="G317">
        <v>2020</v>
      </c>
      <c r="I317" s="143">
        <f t="shared" si="68"/>
        <v>1.5</v>
      </c>
      <c r="N317" s="143">
        <f t="shared" si="69"/>
        <v>1.5</v>
      </c>
      <c r="O317" s="144">
        <f>(N317-N316)/5</f>
        <v>0.2</v>
      </c>
    </row>
    <row r="318" spans="1:15" ht="15.75" thickBot="1">
      <c r="A318" s="107" t="s">
        <v>113</v>
      </c>
      <c r="B318" s="107" t="s">
        <v>447</v>
      </c>
      <c r="C318" t="s">
        <v>549</v>
      </c>
      <c r="D318" s="107" t="s">
        <v>114</v>
      </c>
      <c r="E318" s="107">
        <f>I318*10</f>
        <v>5</v>
      </c>
      <c r="F318" s="7">
        <f>F319*(E318/E319)</f>
        <v>0.83333333333333326</v>
      </c>
      <c r="G318">
        <v>2015</v>
      </c>
      <c r="I318" s="143">
        <f>I302*0.5</f>
        <v>0.5</v>
      </c>
      <c r="N318" s="143">
        <f>N302*0.5</f>
        <v>0.5</v>
      </c>
      <c r="O318" s="143">
        <v>0.1</v>
      </c>
    </row>
    <row r="319" spans="1:15" ht="15.75" thickBot="1">
      <c r="A319" s="107" t="s">
        <v>113</v>
      </c>
      <c r="B319" s="107" t="str">
        <f>B318</f>
        <v>R12_WEU</v>
      </c>
      <c r="C319" t="s">
        <v>549</v>
      </c>
      <c r="D319" s="107" t="s">
        <v>114</v>
      </c>
      <c r="E319" s="107">
        <f t="shared" si="67"/>
        <v>30</v>
      </c>
      <c r="F319" s="7">
        <f>(E319-E318)/5</f>
        <v>5</v>
      </c>
      <c r="G319">
        <v>2020</v>
      </c>
      <c r="I319" s="143">
        <f t="shared" ref="I319:I325" si="71">I303*0.5</f>
        <v>1.5</v>
      </c>
      <c r="N319" s="143">
        <f t="shared" ref="N319:N325" si="72">N303*0.5</f>
        <v>1.5</v>
      </c>
      <c r="O319" s="107">
        <f>(N319-N318)/5</f>
        <v>0.2</v>
      </c>
    </row>
    <row r="320" spans="1:15" ht="15.75" thickBot="1">
      <c r="A320" s="107" t="s">
        <v>107</v>
      </c>
      <c r="B320" s="107" t="str">
        <f t="shared" ref="B320:B324" si="73">B319</f>
        <v>R12_WEU</v>
      </c>
      <c r="C320" t="s">
        <v>549</v>
      </c>
      <c r="D320" s="107" t="s">
        <v>114</v>
      </c>
      <c r="E320" s="107">
        <f>I320*10</f>
        <v>20</v>
      </c>
      <c r="F320" s="7">
        <f>F321*(E320/E321)</f>
        <v>3</v>
      </c>
      <c r="G320">
        <v>2015</v>
      </c>
      <c r="I320" s="143">
        <f t="shared" si="71"/>
        <v>2</v>
      </c>
      <c r="N320" s="143">
        <f t="shared" si="72"/>
        <v>2</v>
      </c>
      <c r="O320" s="107">
        <f>N320/10</f>
        <v>0.2</v>
      </c>
    </row>
    <row r="321" spans="1:15" ht="15.75" thickBot="1">
      <c r="A321" s="107" t="s">
        <v>107</v>
      </c>
      <c r="B321" s="107" t="str">
        <f t="shared" si="73"/>
        <v>R12_WEU</v>
      </c>
      <c r="C321" t="s">
        <v>549</v>
      </c>
      <c r="D321" s="107" t="s">
        <v>114</v>
      </c>
      <c r="E321" s="107">
        <f t="shared" si="67"/>
        <v>80</v>
      </c>
      <c r="F321" s="7">
        <f>(E321-E320)/5</f>
        <v>12</v>
      </c>
      <c r="G321">
        <v>2020</v>
      </c>
      <c r="I321" s="143">
        <f t="shared" si="71"/>
        <v>4</v>
      </c>
      <c r="N321" s="143">
        <f t="shared" si="72"/>
        <v>4</v>
      </c>
      <c r="O321" s="107">
        <f>(N321-N320)/5</f>
        <v>0.4</v>
      </c>
    </row>
    <row r="322" spans="1:15" ht="15.75" thickBot="1">
      <c r="A322" s="107" t="s">
        <v>108</v>
      </c>
      <c r="B322" s="107" t="str">
        <f t="shared" si="73"/>
        <v>R12_WEU</v>
      </c>
      <c r="C322" t="s">
        <v>549</v>
      </c>
      <c r="D322" s="107" t="s">
        <v>114</v>
      </c>
      <c r="E322" s="107">
        <f>I322*10</f>
        <v>20</v>
      </c>
      <c r="F322" s="7">
        <f>F323*(E322/E323)</f>
        <v>3</v>
      </c>
      <c r="G322">
        <v>2015</v>
      </c>
      <c r="I322" s="143">
        <f t="shared" si="71"/>
        <v>2</v>
      </c>
      <c r="N322" s="143"/>
      <c r="O322" s="107"/>
    </row>
    <row r="323" spans="1:15" ht="15.75" thickBot="1">
      <c r="A323" s="107" t="s">
        <v>108</v>
      </c>
      <c r="B323" s="107" t="str">
        <f t="shared" si="73"/>
        <v>R12_WEU</v>
      </c>
      <c r="C323" t="s">
        <v>549</v>
      </c>
      <c r="D323" s="107" t="s">
        <v>114</v>
      </c>
      <c r="E323" s="107">
        <f t="shared" si="67"/>
        <v>80</v>
      </c>
      <c r="F323" s="7">
        <f>(E323-E322)/5</f>
        <v>12</v>
      </c>
      <c r="G323">
        <v>2020</v>
      </c>
      <c r="I323" s="143">
        <f t="shared" si="71"/>
        <v>4</v>
      </c>
      <c r="N323" s="143"/>
      <c r="O323" s="107"/>
    </row>
    <row r="324" spans="1:15" ht="15.75" thickBot="1">
      <c r="A324" s="107" t="s">
        <v>109</v>
      </c>
      <c r="B324" s="107" t="str">
        <f t="shared" si="73"/>
        <v>R12_WEU</v>
      </c>
      <c r="C324" t="s">
        <v>549</v>
      </c>
      <c r="D324" s="107" t="s">
        <v>114</v>
      </c>
      <c r="E324" s="107">
        <f>I324*10</f>
        <v>5</v>
      </c>
      <c r="F324" s="7">
        <f>F325*(E324/E325)</f>
        <v>0.83333333333333326</v>
      </c>
      <c r="G324">
        <v>2015</v>
      </c>
      <c r="I324" s="143">
        <f t="shared" si="71"/>
        <v>0.5</v>
      </c>
      <c r="N324" s="143">
        <f t="shared" si="72"/>
        <v>0.5</v>
      </c>
      <c r="O324" s="107">
        <v>0.1</v>
      </c>
    </row>
    <row r="325" spans="1:15" ht="15.75" thickBot="1">
      <c r="A325" s="107" t="s">
        <v>109</v>
      </c>
      <c r="B325" s="107" t="str">
        <f>B324</f>
        <v>R12_WEU</v>
      </c>
      <c r="C325" t="s">
        <v>549</v>
      </c>
      <c r="D325" s="107" t="s">
        <v>114</v>
      </c>
      <c r="E325" s="107">
        <f t="shared" si="67"/>
        <v>30</v>
      </c>
      <c r="F325" s="7">
        <f>(E325-E324)/5</f>
        <v>5</v>
      </c>
      <c r="G325">
        <v>2020</v>
      </c>
      <c r="I325" s="143">
        <f t="shared" si="71"/>
        <v>1.5</v>
      </c>
      <c r="N325" s="143">
        <f t="shared" si="72"/>
        <v>1.5</v>
      </c>
      <c r="O325" s="144">
        <f>(N325-N324)/5</f>
        <v>0.2</v>
      </c>
    </row>
    <row r="326" spans="1:15">
      <c r="A326" s="75" t="s">
        <v>10</v>
      </c>
      <c r="B326" t="s">
        <v>537</v>
      </c>
      <c r="C326" t="s">
        <v>549</v>
      </c>
      <c r="D326" t="s">
        <v>29</v>
      </c>
      <c r="E326">
        <f>Calculations_caps!D46</f>
        <v>4.1246589999999994</v>
      </c>
      <c r="F326" s="138">
        <v>0</v>
      </c>
      <c r="G326">
        <v>2015</v>
      </c>
      <c r="N326">
        <v>0</v>
      </c>
      <c r="O326">
        <v>0</v>
      </c>
    </row>
    <row r="327" spans="1:15">
      <c r="A327" s="75" t="str">
        <f t="shared" ref="A327" si="74">A326</f>
        <v>mining_flotation_graphite</v>
      </c>
      <c r="B327" t="str">
        <f>B326</f>
        <v>R12_SAS</v>
      </c>
      <c r="C327" t="s">
        <v>549</v>
      </c>
      <c r="D327" t="str">
        <f t="shared" ref="D327" si="75">D326</f>
        <v>Mt</v>
      </c>
      <c r="E327">
        <f>Calculations_caps!D36</f>
        <v>0.14557619999999999</v>
      </c>
      <c r="F327" s="139">
        <v>0</v>
      </c>
      <c r="G327">
        <v>2020</v>
      </c>
      <c r="N327">
        <v>0</v>
      </c>
      <c r="O327">
        <v>0</v>
      </c>
    </row>
    <row r="328" spans="1:15">
      <c r="A328" s="75" t="s">
        <v>43</v>
      </c>
      <c r="B328" t="str">
        <f t="shared" ref="B328:B377" si="76">B327</f>
        <v>R12_SAS</v>
      </c>
      <c r="C328" t="s">
        <v>549</v>
      </c>
      <c r="D328" t="s">
        <v>29</v>
      </c>
      <c r="E328">
        <f>Calculations_caps!E46</f>
        <v>0.43009999999999998</v>
      </c>
      <c r="F328" s="106">
        <v>0</v>
      </c>
      <c r="G328">
        <v>2015</v>
      </c>
      <c r="N328">
        <v>0</v>
      </c>
      <c r="O328">
        <v>0</v>
      </c>
    </row>
    <row r="329" spans="1:15">
      <c r="A329" s="75" t="s">
        <v>43</v>
      </c>
      <c r="B329" t="str">
        <f t="shared" si="76"/>
        <v>R12_SAS</v>
      </c>
      <c r="C329" t="s">
        <v>549</v>
      </c>
      <c r="D329" t="s">
        <v>29</v>
      </c>
      <c r="E329">
        <f>Calculations_caps!E36</f>
        <v>1.5179999999999999E-2</v>
      </c>
      <c r="F329" s="106">
        <v>0</v>
      </c>
      <c r="G329">
        <v>2020</v>
      </c>
      <c r="N329">
        <v>0</v>
      </c>
      <c r="O329">
        <v>0</v>
      </c>
    </row>
    <row r="330" spans="1:15">
      <c r="A330" s="75" t="s">
        <v>61</v>
      </c>
      <c r="B330" t="str">
        <f t="shared" si="76"/>
        <v>R12_SAS</v>
      </c>
      <c r="C330" t="s">
        <v>549</v>
      </c>
      <c r="D330" t="s">
        <v>29</v>
      </c>
      <c r="E330" s="109">
        <v>0</v>
      </c>
      <c r="F330" s="109">
        <f>E330*0.1</f>
        <v>0</v>
      </c>
      <c r="G330">
        <v>2015</v>
      </c>
      <c r="N330" s="109">
        <v>5</v>
      </c>
      <c r="O330" s="109">
        <f>N330*0.1</f>
        <v>0.5</v>
      </c>
    </row>
    <row r="331" spans="1:15">
      <c r="A331" s="75" t="s">
        <v>62</v>
      </c>
      <c r="B331" t="str">
        <f t="shared" si="76"/>
        <v>R12_SAS</v>
      </c>
      <c r="C331" t="s">
        <v>549</v>
      </c>
      <c r="D331" t="s">
        <v>29</v>
      </c>
      <c r="E331" s="109">
        <v>1.5</v>
      </c>
      <c r="F331" s="109">
        <f>E331*0.1</f>
        <v>0.15000000000000002</v>
      </c>
      <c r="G331">
        <v>2020</v>
      </c>
      <c r="N331" s="109">
        <v>1.5</v>
      </c>
      <c r="O331" s="109">
        <f>N331*0.1</f>
        <v>0.15000000000000002</v>
      </c>
    </row>
    <row r="332" spans="1:15">
      <c r="A332" s="75" t="s">
        <v>63</v>
      </c>
      <c r="B332" t="str">
        <f t="shared" si="76"/>
        <v>R12_SAS</v>
      </c>
      <c r="C332" t="s">
        <v>549</v>
      </c>
      <c r="D332" t="s">
        <v>29</v>
      </c>
      <c r="E332" s="109">
        <v>0.36</v>
      </c>
      <c r="F332" s="109">
        <v>0.03</v>
      </c>
      <c r="G332">
        <v>2015</v>
      </c>
      <c r="N332" s="109">
        <v>0.36</v>
      </c>
      <c r="O332" s="109">
        <v>0.03</v>
      </c>
    </row>
    <row r="333" spans="1:15">
      <c r="A333" s="75" t="s">
        <v>61</v>
      </c>
      <c r="B333" t="str">
        <f t="shared" si="76"/>
        <v>R12_SAS</v>
      </c>
      <c r="C333" t="s">
        <v>549</v>
      </c>
      <c r="D333" t="s">
        <v>29</v>
      </c>
      <c r="E333" s="109">
        <v>0</v>
      </c>
      <c r="F333" s="109">
        <f>E333*0.1</f>
        <v>0</v>
      </c>
      <c r="G333">
        <v>2020</v>
      </c>
      <c r="N333" s="109">
        <v>7</v>
      </c>
      <c r="O333" s="109">
        <f>N333*0.1</f>
        <v>0.70000000000000007</v>
      </c>
    </row>
    <row r="334" spans="1:15">
      <c r="A334" s="75" t="s">
        <v>62</v>
      </c>
      <c r="B334" t="str">
        <f t="shared" si="76"/>
        <v>R12_SAS</v>
      </c>
      <c r="C334" t="s">
        <v>549</v>
      </c>
      <c r="D334" t="s">
        <v>29</v>
      </c>
      <c r="E334" s="109">
        <v>2</v>
      </c>
      <c r="F334" s="109">
        <f>(E334-E331)/5</f>
        <v>0.1</v>
      </c>
      <c r="G334">
        <v>2015</v>
      </c>
      <c r="N334" s="109">
        <v>2</v>
      </c>
      <c r="O334" s="109">
        <f>(N334-N331)/5</f>
        <v>0.1</v>
      </c>
    </row>
    <row r="335" spans="1:15">
      <c r="A335" s="75" t="s">
        <v>63</v>
      </c>
      <c r="B335" t="str">
        <f t="shared" si="76"/>
        <v>R12_SAS</v>
      </c>
      <c r="C335" t="s">
        <v>549</v>
      </c>
      <c r="D335" t="s">
        <v>29</v>
      </c>
      <c r="E335" s="109">
        <v>0.9</v>
      </c>
      <c r="F335" s="109">
        <v>0.05</v>
      </c>
      <c r="G335">
        <v>2020</v>
      </c>
      <c r="N335" s="109">
        <v>0.9</v>
      </c>
      <c r="O335" s="109">
        <v>0.05</v>
      </c>
    </row>
    <row r="336" spans="1:15">
      <c r="A336" s="75" t="s">
        <v>64</v>
      </c>
      <c r="B336" t="str">
        <f t="shared" si="76"/>
        <v>R12_SAS</v>
      </c>
      <c r="C336" t="s">
        <v>549</v>
      </c>
      <c r="D336" t="s">
        <v>29</v>
      </c>
      <c r="E336" s="109">
        <v>0</v>
      </c>
      <c r="F336">
        <v>0</v>
      </c>
      <c r="G336">
        <v>2015</v>
      </c>
      <c r="N336" s="109">
        <v>0</v>
      </c>
      <c r="O336">
        <v>0</v>
      </c>
    </row>
    <row r="337" spans="1:15">
      <c r="A337" s="75" t="s">
        <v>67</v>
      </c>
      <c r="B337" t="str">
        <f t="shared" si="76"/>
        <v>R12_SAS</v>
      </c>
      <c r="C337" t="s">
        <v>549</v>
      </c>
      <c r="D337" t="s">
        <v>29</v>
      </c>
      <c r="E337" s="109">
        <v>0</v>
      </c>
      <c r="F337">
        <v>0</v>
      </c>
      <c r="G337">
        <v>2020</v>
      </c>
      <c r="N337" s="109">
        <v>0</v>
      </c>
      <c r="O337">
        <v>0</v>
      </c>
    </row>
    <row r="338" spans="1:15">
      <c r="A338" s="75" t="s">
        <v>68</v>
      </c>
      <c r="B338" t="str">
        <f t="shared" si="76"/>
        <v>R12_SAS</v>
      </c>
      <c r="C338" t="s">
        <v>549</v>
      </c>
      <c r="D338" t="s">
        <v>29</v>
      </c>
      <c r="E338" s="109">
        <v>0</v>
      </c>
      <c r="F338">
        <v>0</v>
      </c>
      <c r="G338">
        <v>2015</v>
      </c>
      <c r="N338" s="109">
        <v>0</v>
      </c>
      <c r="O338">
        <v>0</v>
      </c>
    </row>
    <row r="339" spans="1:15">
      <c r="A339" s="75" t="s">
        <v>64</v>
      </c>
      <c r="B339" t="str">
        <f t="shared" si="76"/>
        <v>R12_SAS</v>
      </c>
      <c r="C339" t="s">
        <v>549</v>
      </c>
      <c r="D339" t="s">
        <v>29</v>
      </c>
      <c r="E339" s="109">
        <v>0</v>
      </c>
      <c r="F339">
        <v>0</v>
      </c>
      <c r="G339">
        <v>2020</v>
      </c>
      <c r="N339" s="109">
        <v>0</v>
      </c>
      <c r="O339">
        <v>0</v>
      </c>
    </row>
    <row r="340" spans="1:15">
      <c r="A340" s="75" t="s">
        <v>67</v>
      </c>
      <c r="B340" t="str">
        <f t="shared" si="76"/>
        <v>R12_SAS</v>
      </c>
      <c r="C340" t="s">
        <v>549</v>
      </c>
      <c r="D340" t="s">
        <v>29</v>
      </c>
      <c r="E340" s="109">
        <v>0</v>
      </c>
      <c r="F340">
        <v>0</v>
      </c>
      <c r="G340">
        <v>2015</v>
      </c>
      <c r="N340" s="109">
        <v>0</v>
      </c>
      <c r="O340">
        <v>0</v>
      </c>
    </row>
    <row r="341" spans="1:15">
      <c r="A341" s="75" t="s">
        <v>68</v>
      </c>
      <c r="B341" t="str">
        <f t="shared" si="76"/>
        <v>R12_SAS</v>
      </c>
      <c r="C341" t="s">
        <v>549</v>
      </c>
      <c r="D341" t="s">
        <v>29</v>
      </c>
      <c r="E341" s="109">
        <v>0</v>
      </c>
      <c r="F341">
        <v>0</v>
      </c>
      <c r="G341">
        <v>2020</v>
      </c>
      <c r="N341" s="109">
        <v>0</v>
      </c>
      <c r="O341">
        <v>0</v>
      </c>
    </row>
    <row r="342" spans="1:15">
      <c r="A342" s="75" t="s">
        <v>71</v>
      </c>
      <c r="B342" t="str">
        <f t="shared" si="76"/>
        <v>R12_SAS</v>
      </c>
      <c r="C342" t="s">
        <v>549</v>
      </c>
      <c r="D342" t="s">
        <v>29</v>
      </c>
      <c r="E342" s="109">
        <v>0</v>
      </c>
      <c r="F342">
        <v>0</v>
      </c>
      <c r="G342">
        <v>2015</v>
      </c>
      <c r="N342" s="109">
        <v>0</v>
      </c>
      <c r="O342">
        <v>0</v>
      </c>
    </row>
    <row r="343" spans="1:15">
      <c r="A343" s="75" t="s">
        <v>71</v>
      </c>
      <c r="B343" t="str">
        <f t="shared" si="76"/>
        <v>R12_SAS</v>
      </c>
      <c r="C343" t="s">
        <v>549</v>
      </c>
      <c r="D343" t="s">
        <v>29</v>
      </c>
      <c r="E343" s="109">
        <v>0</v>
      </c>
      <c r="F343">
        <v>0</v>
      </c>
      <c r="G343">
        <v>2020</v>
      </c>
      <c r="N343" s="109">
        <v>0</v>
      </c>
      <c r="O343">
        <v>0</v>
      </c>
    </row>
    <row r="344" spans="1:15">
      <c r="A344" s="75" t="s">
        <v>72</v>
      </c>
      <c r="B344" t="str">
        <f t="shared" si="76"/>
        <v>R12_SAS</v>
      </c>
      <c r="C344" t="s">
        <v>549</v>
      </c>
      <c r="D344" t="s">
        <v>29</v>
      </c>
      <c r="E344" s="109">
        <v>0</v>
      </c>
      <c r="F344">
        <v>0</v>
      </c>
      <c r="G344">
        <v>2015</v>
      </c>
      <c r="N344" s="109">
        <v>0</v>
      </c>
      <c r="O344">
        <v>0</v>
      </c>
    </row>
    <row r="345" spans="1:15">
      <c r="A345" s="75" t="s">
        <v>72</v>
      </c>
      <c r="B345" t="str">
        <f t="shared" si="76"/>
        <v>R12_SAS</v>
      </c>
      <c r="C345" t="s">
        <v>549</v>
      </c>
      <c r="D345" t="s">
        <v>29</v>
      </c>
      <c r="E345" s="109">
        <v>0</v>
      </c>
      <c r="F345">
        <v>0</v>
      </c>
      <c r="G345">
        <v>2020</v>
      </c>
      <c r="N345" s="109">
        <v>0</v>
      </c>
      <c r="O345">
        <v>0</v>
      </c>
    </row>
    <row r="346" spans="1:15">
      <c r="A346" s="75" t="s">
        <v>73</v>
      </c>
      <c r="B346" t="str">
        <f t="shared" si="76"/>
        <v>R12_SAS</v>
      </c>
      <c r="C346" t="s">
        <v>549</v>
      </c>
      <c r="D346" t="s">
        <v>29</v>
      </c>
      <c r="E346" s="109">
        <f>Calculations_caps!D26</f>
        <v>2.7929999999999997</v>
      </c>
      <c r="F346" s="13">
        <f>F347*(E346/E347)</f>
        <v>3.6629508196721422E-2</v>
      </c>
      <c r="G346">
        <v>2015</v>
      </c>
      <c r="I346" t="s">
        <v>451</v>
      </c>
      <c r="J346" t="s">
        <v>452</v>
      </c>
      <c r="N346" s="109">
        <v>0</v>
      </c>
      <c r="O346">
        <v>0</v>
      </c>
    </row>
    <row r="347" spans="1:15">
      <c r="A347" s="75" t="s">
        <v>73</v>
      </c>
      <c r="B347" t="str">
        <f t="shared" si="76"/>
        <v>R12_SAS</v>
      </c>
      <c r="C347" t="s">
        <v>549</v>
      </c>
      <c r="D347" t="s">
        <v>29</v>
      </c>
      <c r="E347" s="109">
        <f>Calculations_caps!D18</f>
        <v>2.9890000000000003</v>
      </c>
      <c r="F347" s="13">
        <f>(E347-E346)/5</f>
        <v>3.9200000000000124E-2</v>
      </c>
      <c r="G347">
        <v>2020</v>
      </c>
      <c r="I347" t="s">
        <v>453</v>
      </c>
      <c r="N347" s="109">
        <v>0</v>
      </c>
      <c r="O347">
        <v>0</v>
      </c>
    </row>
    <row r="348" spans="1:15">
      <c r="A348" s="75" t="s">
        <v>75</v>
      </c>
      <c r="B348" t="str">
        <f t="shared" si="76"/>
        <v>R12_SAS</v>
      </c>
      <c r="C348" t="s">
        <v>549</v>
      </c>
      <c r="D348" t="s">
        <v>29</v>
      </c>
      <c r="E348" s="109">
        <v>0</v>
      </c>
      <c r="F348">
        <v>0</v>
      </c>
      <c r="G348">
        <v>2015</v>
      </c>
      <c r="N348" s="109">
        <v>0</v>
      </c>
      <c r="O348">
        <v>0</v>
      </c>
    </row>
    <row r="349" spans="1:15">
      <c r="A349" s="75" t="s">
        <v>75</v>
      </c>
      <c r="B349" t="str">
        <f t="shared" si="76"/>
        <v>R12_SAS</v>
      </c>
      <c r="C349" t="s">
        <v>549</v>
      </c>
      <c r="D349" t="s">
        <v>29</v>
      </c>
      <c r="E349" s="109">
        <v>0</v>
      </c>
      <c r="F349">
        <v>0</v>
      </c>
      <c r="G349">
        <v>2020</v>
      </c>
      <c r="N349" s="109">
        <v>0</v>
      </c>
      <c r="O349">
        <v>0</v>
      </c>
    </row>
    <row r="350" spans="1:15">
      <c r="A350" s="75" t="s">
        <v>79</v>
      </c>
      <c r="B350" t="str">
        <f t="shared" si="76"/>
        <v>R12_SAS</v>
      </c>
      <c r="C350" t="s">
        <v>549</v>
      </c>
      <c r="D350" t="s">
        <v>29</v>
      </c>
      <c r="E350" s="109">
        <v>0</v>
      </c>
      <c r="F350">
        <v>0</v>
      </c>
      <c r="G350">
        <v>2015</v>
      </c>
      <c r="N350" s="109">
        <v>0</v>
      </c>
      <c r="O350">
        <v>0</v>
      </c>
    </row>
    <row r="351" spans="1:15">
      <c r="A351" s="75" t="s">
        <v>79</v>
      </c>
      <c r="B351" t="str">
        <f t="shared" si="76"/>
        <v>R12_SAS</v>
      </c>
      <c r="C351" t="s">
        <v>549</v>
      </c>
      <c r="D351" t="s">
        <v>29</v>
      </c>
      <c r="E351" s="109">
        <v>0</v>
      </c>
      <c r="F351">
        <v>0</v>
      </c>
      <c r="G351">
        <v>2020</v>
      </c>
      <c r="N351" s="109">
        <v>0</v>
      </c>
      <c r="O351">
        <v>0</v>
      </c>
    </row>
    <row r="352" spans="1:15">
      <c r="A352" s="75" t="s">
        <v>80</v>
      </c>
      <c r="B352" t="str">
        <f t="shared" si="76"/>
        <v>R12_SAS</v>
      </c>
      <c r="C352" t="s">
        <v>549</v>
      </c>
      <c r="D352" t="s">
        <v>29</v>
      </c>
      <c r="E352" s="109">
        <v>0</v>
      </c>
      <c r="F352">
        <v>0</v>
      </c>
      <c r="G352">
        <v>2015</v>
      </c>
      <c r="N352" s="109">
        <v>0</v>
      </c>
      <c r="O352">
        <v>0</v>
      </c>
    </row>
    <row r="353" spans="1:15">
      <c r="A353" s="75" t="s">
        <v>80</v>
      </c>
      <c r="B353" t="str">
        <f t="shared" si="76"/>
        <v>R12_SAS</v>
      </c>
      <c r="C353" t="s">
        <v>549</v>
      </c>
      <c r="D353" t="s">
        <v>29</v>
      </c>
      <c r="E353" s="109">
        <v>0</v>
      </c>
      <c r="F353">
        <v>0</v>
      </c>
      <c r="G353">
        <v>2020</v>
      </c>
      <c r="N353" s="109">
        <v>0</v>
      </c>
      <c r="O353">
        <v>0</v>
      </c>
    </row>
    <row r="354" spans="1:15">
      <c r="A354" s="75" t="s">
        <v>81</v>
      </c>
      <c r="B354" t="str">
        <f t="shared" si="76"/>
        <v>R12_SAS</v>
      </c>
      <c r="C354" t="s">
        <v>549</v>
      </c>
      <c r="D354" t="s">
        <v>29</v>
      </c>
      <c r="E354" s="109">
        <v>0</v>
      </c>
      <c r="F354">
        <v>0</v>
      </c>
      <c r="G354">
        <v>2015</v>
      </c>
      <c r="N354" s="109">
        <v>0</v>
      </c>
      <c r="O354">
        <v>0</v>
      </c>
    </row>
    <row r="355" spans="1:15">
      <c r="A355" s="75" t="s">
        <v>81</v>
      </c>
      <c r="B355" t="str">
        <f t="shared" si="76"/>
        <v>R12_SAS</v>
      </c>
      <c r="C355" t="s">
        <v>549</v>
      </c>
      <c r="D355" t="s">
        <v>29</v>
      </c>
      <c r="E355" s="109">
        <v>0</v>
      </c>
      <c r="F355">
        <v>0</v>
      </c>
      <c r="G355">
        <v>2020</v>
      </c>
      <c r="N355" s="109">
        <v>0</v>
      </c>
      <c r="O355">
        <v>0</v>
      </c>
    </row>
    <row r="356" spans="1:15">
      <c r="A356" s="75" t="s">
        <v>86</v>
      </c>
      <c r="B356" t="str">
        <f t="shared" si="76"/>
        <v>R12_SAS</v>
      </c>
      <c r="C356" t="s">
        <v>549</v>
      </c>
      <c r="D356" t="s">
        <v>29</v>
      </c>
      <c r="E356" s="109">
        <v>0</v>
      </c>
      <c r="F356">
        <v>0</v>
      </c>
      <c r="G356">
        <v>2015</v>
      </c>
      <c r="N356" s="109"/>
    </row>
    <row r="357" spans="1:15">
      <c r="A357" s="75" t="s">
        <v>86</v>
      </c>
      <c r="B357" t="str">
        <f t="shared" si="76"/>
        <v>R12_SAS</v>
      </c>
      <c r="C357" t="s">
        <v>549</v>
      </c>
      <c r="D357" t="s">
        <v>29</v>
      </c>
      <c r="E357" s="109">
        <v>0</v>
      </c>
      <c r="F357">
        <v>0</v>
      </c>
      <c r="G357">
        <v>2020</v>
      </c>
      <c r="N357" s="109"/>
    </row>
    <row r="358" spans="1:15">
      <c r="A358" s="75" t="s">
        <v>87</v>
      </c>
      <c r="B358" t="str">
        <f t="shared" si="76"/>
        <v>R12_SAS</v>
      </c>
      <c r="C358" t="s">
        <v>549</v>
      </c>
      <c r="D358" t="s">
        <v>29</v>
      </c>
      <c r="E358" s="109">
        <v>0</v>
      </c>
      <c r="F358">
        <v>0</v>
      </c>
      <c r="G358">
        <v>2015</v>
      </c>
      <c r="N358" s="109">
        <v>0</v>
      </c>
      <c r="O358">
        <v>0</v>
      </c>
    </row>
    <row r="359" spans="1:15">
      <c r="A359" s="75" t="s">
        <v>87</v>
      </c>
      <c r="B359" t="str">
        <f t="shared" si="76"/>
        <v>R12_SAS</v>
      </c>
      <c r="C359" t="s">
        <v>549</v>
      </c>
      <c r="D359" t="s">
        <v>29</v>
      </c>
      <c r="E359" s="109">
        <v>0</v>
      </c>
      <c r="F359">
        <v>0</v>
      </c>
      <c r="G359">
        <v>2020</v>
      </c>
      <c r="N359" s="109">
        <v>0</v>
      </c>
      <c r="O359">
        <v>0</v>
      </c>
    </row>
    <row r="360" spans="1:15">
      <c r="A360" s="75" t="s">
        <v>89</v>
      </c>
      <c r="B360" t="str">
        <f t="shared" si="76"/>
        <v>R12_SAS</v>
      </c>
      <c r="C360" t="s">
        <v>549</v>
      </c>
      <c r="D360" t="s">
        <v>29</v>
      </c>
      <c r="E360" s="109">
        <v>0</v>
      </c>
      <c r="F360">
        <v>0</v>
      </c>
      <c r="G360">
        <v>2015</v>
      </c>
      <c r="N360" s="109">
        <v>0</v>
      </c>
      <c r="O360">
        <v>0</v>
      </c>
    </row>
    <row r="361" spans="1:15">
      <c r="A361" s="75" t="s">
        <v>89</v>
      </c>
      <c r="B361" t="str">
        <f t="shared" si="76"/>
        <v>R12_SAS</v>
      </c>
      <c r="C361" t="s">
        <v>549</v>
      </c>
      <c r="D361" t="s">
        <v>29</v>
      </c>
      <c r="E361" s="109">
        <v>0</v>
      </c>
      <c r="F361">
        <v>0</v>
      </c>
      <c r="G361">
        <v>2020</v>
      </c>
      <c r="N361" s="109">
        <v>0</v>
      </c>
      <c r="O361">
        <v>0</v>
      </c>
    </row>
    <row r="362" spans="1:15">
      <c r="A362" s="75" t="s">
        <v>92</v>
      </c>
      <c r="B362" t="str">
        <f t="shared" si="76"/>
        <v>R12_SAS</v>
      </c>
      <c r="C362" t="s">
        <v>549</v>
      </c>
      <c r="D362" t="s">
        <v>29</v>
      </c>
      <c r="E362" s="109">
        <v>0</v>
      </c>
      <c r="F362">
        <v>0</v>
      </c>
      <c r="G362">
        <v>2015</v>
      </c>
      <c r="N362" s="109">
        <v>0</v>
      </c>
      <c r="O362">
        <v>0</v>
      </c>
    </row>
    <row r="363" spans="1:15">
      <c r="A363" s="75" t="s">
        <v>92</v>
      </c>
      <c r="B363" t="str">
        <f t="shared" si="76"/>
        <v>R12_SAS</v>
      </c>
      <c r="C363" t="s">
        <v>549</v>
      </c>
      <c r="D363" t="s">
        <v>29</v>
      </c>
      <c r="E363" s="109">
        <v>0</v>
      </c>
      <c r="F363">
        <v>0</v>
      </c>
      <c r="G363">
        <v>2020</v>
      </c>
      <c r="N363" s="109">
        <v>0</v>
      </c>
      <c r="O363">
        <v>0</v>
      </c>
    </row>
    <row r="364" spans="1:15">
      <c r="A364" s="75" t="s">
        <v>95</v>
      </c>
      <c r="B364" t="str">
        <f t="shared" si="76"/>
        <v>R12_SAS</v>
      </c>
      <c r="C364" t="s">
        <v>549</v>
      </c>
      <c r="D364" t="s">
        <v>29</v>
      </c>
      <c r="E364" s="109">
        <v>0</v>
      </c>
      <c r="F364">
        <v>0</v>
      </c>
      <c r="G364">
        <v>2015</v>
      </c>
      <c r="N364" s="109">
        <v>0</v>
      </c>
      <c r="O364">
        <v>0</v>
      </c>
    </row>
    <row r="365" spans="1:15">
      <c r="A365" s="75" t="s">
        <v>95</v>
      </c>
      <c r="B365" t="str">
        <f t="shared" si="76"/>
        <v>R12_SAS</v>
      </c>
      <c r="C365" t="s">
        <v>549</v>
      </c>
      <c r="D365" t="s">
        <v>29</v>
      </c>
      <c r="E365" s="109">
        <v>0</v>
      </c>
      <c r="F365">
        <v>0</v>
      </c>
      <c r="G365">
        <v>2020</v>
      </c>
      <c r="N365" s="109">
        <v>0</v>
      </c>
      <c r="O365">
        <v>0</v>
      </c>
    </row>
    <row r="366" spans="1:15">
      <c r="A366" s="75" t="s">
        <v>97</v>
      </c>
      <c r="B366" t="str">
        <f t="shared" si="76"/>
        <v>R12_SAS</v>
      </c>
      <c r="C366" t="s">
        <v>549</v>
      </c>
      <c r="D366" t="s">
        <v>29</v>
      </c>
      <c r="E366" s="109">
        <v>0</v>
      </c>
      <c r="F366">
        <v>0</v>
      </c>
      <c r="G366">
        <v>2015</v>
      </c>
      <c r="N366" s="109">
        <v>0</v>
      </c>
      <c r="O366">
        <v>0</v>
      </c>
    </row>
    <row r="367" spans="1:15">
      <c r="A367" s="75" t="s">
        <v>97</v>
      </c>
      <c r="B367" t="str">
        <f t="shared" si="76"/>
        <v>R12_SAS</v>
      </c>
      <c r="C367" t="s">
        <v>549</v>
      </c>
      <c r="D367" t="s">
        <v>29</v>
      </c>
      <c r="E367" s="109">
        <v>0</v>
      </c>
      <c r="F367">
        <v>0</v>
      </c>
      <c r="G367">
        <v>2020</v>
      </c>
      <c r="N367" s="109">
        <v>0</v>
      </c>
      <c r="O367">
        <v>0</v>
      </c>
    </row>
    <row r="368" spans="1:15">
      <c r="A368" s="75" t="s">
        <v>98</v>
      </c>
      <c r="B368" t="str">
        <f t="shared" si="76"/>
        <v>R12_SAS</v>
      </c>
      <c r="C368" t="s">
        <v>549</v>
      </c>
      <c r="D368" t="s">
        <v>29</v>
      </c>
      <c r="E368" s="109">
        <v>0</v>
      </c>
      <c r="F368">
        <v>0</v>
      </c>
      <c r="G368">
        <v>2015</v>
      </c>
      <c r="N368" s="109">
        <v>0</v>
      </c>
      <c r="O368">
        <v>0</v>
      </c>
    </row>
    <row r="369" spans="1:15">
      <c r="A369" s="75" t="s">
        <v>98</v>
      </c>
      <c r="B369" t="str">
        <f t="shared" si="76"/>
        <v>R12_SAS</v>
      </c>
      <c r="C369" t="s">
        <v>549</v>
      </c>
      <c r="D369" t="s">
        <v>29</v>
      </c>
      <c r="E369" s="109">
        <v>0</v>
      </c>
      <c r="F369">
        <v>0</v>
      </c>
      <c r="G369">
        <v>2020</v>
      </c>
      <c r="N369" s="109">
        <v>0</v>
      </c>
      <c r="O369">
        <v>0</v>
      </c>
    </row>
    <row r="370" spans="1:15">
      <c r="A370" s="75" t="s">
        <v>99</v>
      </c>
      <c r="B370" t="str">
        <f t="shared" si="76"/>
        <v>R12_SAS</v>
      </c>
      <c r="C370" t="s">
        <v>549</v>
      </c>
      <c r="D370" t="s">
        <v>29</v>
      </c>
      <c r="E370" s="109">
        <v>0</v>
      </c>
      <c r="F370">
        <v>0</v>
      </c>
      <c r="G370">
        <v>2015</v>
      </c>
      <c r="N370" s="109">
        <v>0</v>
      </c>
      <c r="O370">
        <v>0</v>
      </c>
    </row>
    <row r="371" spans="1:15">
      <c r="A371" s="75" t="s">
        <v>99</v>
      </c>
      <c r="B371" t="str">
        <f t="shared" si="76"/>
        <v>R12_SAS</v>
      </c>
      <c r="C371" t="s">
        <v>549</v>
      </c>
      <c r="D371" t="s">
        <v>29</v>
      </c>
      <c r="E371" s="109">
        <v>0</v>
      </c>
      <c r="F371">
        <v>0</v>
      </c>
      <c r="G371">
        <v>2020</v>
      </c>
      <c r="N371" s="109">
        <v>0</v>
      </c>
      <c r="O371">
        <v>0</v>
      </c>
    </row>
    <row r="372" spans="1:15">
      <c r="A372" s="75" t="s">
        <v>100</v>
      </c>
      <c r="B372" t="str">
        <f t="shared" si="76"/>
        <v>R12_SAS</v>
      </c>
      <c r="C372" t="s">
        <v>549</v>
      </c>
      <c r="D372" t="s">
        <v>29</v>
      </c>
      <c r="E372" s="109">
        <v>0</v>
      </c>
      <c r="F372">
        <v>0</v>
      </c>
      <c r="G372">
        <v>2015</v>
      </c>
      <c r="N372" s="109">
        <v>0</v>
      </c>
      <c r="O372">
        <v>0</v>
      </c>
    </row>
    <row r="373" spans="1:15">
      <c r="A373" s="75" t="s">
        <v>100</v>
      </c>
      <c r="B373" t="str">
        <f t="shared" si="76"/>
        <v>R12_SAS</v>
      </c>
      <c r="C373" t="s">
        <v>549</v>
      </c>
      <c r="D373" t="s">
        <v>29</v>
      </c>
      <c r="E373" s="109">
        <v>0</v>
      </c>
      <c r="F373">
        <v>0</v>
      </c>
      <c r="G373">
        <v>2020</v>
      </c>
      <c r="N373" s="109">
        <v>0</v>
      </c>
      <c r="O373">
        <v>0</v>
      </c>
    </row>
    <row r="374" spans="1:15">
      <c r="A374" s="75" t="s">
        <v>101</v>
      </c>
      <c r="B374" t="str">
        <f t="shared" si="76"/>
        <v>R12_SAS</v>
      </c>
      <c r="C374" t="s">
        <v>549</v>
      </c>
      <c r="D374" t="s">
        <v>29</v>
      </c>
      <c r="E374" s="109">
        <v>0</v>
      </c>
      <c r="F374">
        <v>0</v>
      </c>
      <c r="G374">
        <v>2015</v>
      </c>
      <c r="N374" s="109">
        <v>0</v>
      </c>
      <c r="O374">
        <v>0</v>
      </c>
    </row>
    <row r="375" spans="1:15" ht="15.75" thickBot="1">
      <c r="A375" s="77" t="s">
        <v>101</v>
      </c>
      <c r="B375" s="78" t="str">
        <f>B374</f>
        <v>R12_SAS</v>
      </c>
      <c r="C375" t="s">
        <v>549</v>
      </c>
      <c r="D375" s="78" t="s">
        <v>29</v>
      </c>
      <c r="E375" s="109">
        <v>0</v>
      </c>
      <c r="F375">
        <v>0</v>
      </c>
      <c r="G375">
        <v>2020</v>
      </c>
      <c r="N375" s="109">
        <v>0</v>
      </c>
      <c r="O375">
        <v>0</v>
      </c>
    </row>
    <row r="376" spans="1:15">
      <c r="A376" s="75" t="s">
        <v>73</v>
      </c>
      <c r="B376" t="s">
        <v>535</v>
      </c>
      <c r="C376" t="s">
        <v>549</v>
      </c>
      <c r="D376" t="s">
        <v>29</v>
      </c>
      <c r="E376" s="109">
        <f>Calculations_caps!D28</f>
        <v>2.17</v>
      </c>
      <c r="F376" s="13">
        <f>F377*(E376/E377)</f>
        <v>0.13502222222222224</v>
      </c>
      <c r="G376">
        <v>2015</v>
      </c>
    </row>
    <row r="377" spans="1:15" ht="15.75" thickBot="1">
      <c r="A377" s="75" t="s">
        <v>73</v>
      </c>
      <c r="B377" t="str">
        <f t="shared" si="76"/>
        <v>R12_FSU</v>
      </c>
      <c r="C377" t="s">
        <v>549</v>
      </c>
      <c r="D377" t="s">
        <v>29</v>
      </c>
      <c r="E377" s="109">
        <f>Calculations_caps!D20</f>
        <v>3.15</v>
      </c>
      <c r="F377">
        <f>(E377-E376)/5</f>
        <v>0.19600000000000001</v>
      </c>
      <c r="G377">
        <v>2020</v>
      </c>
    </row>
    <row r="378" spans="1:15">
      <c r="A378" s="72" t="s">
        <v>10</v>
      </c>
      <c r="B378" s="73" t="s">
        <v>535</v>
      </c>
      <c r="C378" t="s">
        <v>549</v>
      </c>
      <c r="D378" s="73" t="s">
        <v>29</v>
      </c>
      <c r="E378">
        <f>Calculations_caps!D45</f>
        <v>0.36394049999999994</v>
      </c>
      <c r="F378" s="138">
        <f>F379*(E378/E379)</f>
        <v>2.9115240000000004E-2</v>
      </c>
      <c r="G378">
        <v>2015</v>
      </c>
    </row>
    <row r="379" spans="1:15">
      <c r="A379" s="75" t="str">
        <f t="shared" ref="A379" si="77">A378</f>
        <v>mining_flotation_graphite</v>
      </c>
      <c r="B379" t="str">
        <f>B378</f>
        <v>R12_FSU</v>
      </c>
      <c r="C379" t="s">
        <v>549</v>
      </c>
      <c r="D379" t="str">
        <f t="shared" ref="D379" si="78">D378</f>
        <v>Mt</v>
      </c>
      <c r="E379">
        <f>Calculations_caps!D35</f>
        <v>0.60656750000000004</v>
      </c>
      <c r="F379" s="139">
        <f>(E379-E378)/5</f>
        <v>4.8525400000000017E-2</v>
      </c>
      <c r="G379">
        <v>2020</v>
      </c>
    </row>
    <row r="380" spans="1:15">
      <c r="A380" s="75" t="s">
        <v>43</v>
      </c>
      <c r="B380" t="str">
        <f t="shared" ref="B380:B381" si="79">B379</f>
        <v>R12_FSU</v>
      </c>
      <c r="C380" t="s">
        <v>549</v>
      </c>
      <c r="D380" t="s">
        <v>29</v>
      </c>
      <c r="E380">
        <f>Calculations_caps!E45</f>
        <v>3.7949999999999998E-2</v>
      </c>
      <c r="F380" s="106">
        <f>F381*(E380/E381)</f>
        <v>3.0360000000000001E-3</v>
      </c>
      <c r="G380">
        <v>2015</v>
      </c>
    </row>
    <row r="381" spans="1:15">
      <c r="A381" s="75" t="s">
        <v>43</v>
      </c>
      <c r="B381" t="str">
        <f t="shared" si="79"/>
        <v>R12_FSU</v>
      </c>
      <c r="C381" t="s">
        <v>549</v>
      </c>
      <c r="D381" t="s">
        <v>29</v>
      </c>
      <c r="E381">
        <f>Calculations_caps!E35</f>
        <v>6.3250000000000001E-2</v>
      </c>
      <c r="F381" s="106">
        <f>(E381-E380)/5</f>
        <v>5.0600000000000003E-3</v>
      </c>
      <c r="G381">
        <v>2020</v>
      </c>
    </row>
  </sheetData>
  <autoFilter ref="A1:G381" xr:uid="{566C5C8A-3088-4155-996F-3C4A72B6D716}"/>
  <hyperlinks>
    <hyperlink ref="I18" r:id="rId1" xr:uid="{67D0B0D6-E56F-44E5-B572-09BA10BA70CC}"/>
    <hyperlink ref="I12" r:id="rId2" xr:uid="{53524696-4C7A-4740-9543-A4D77EB756A9}"/>
    <hyperlink ref="I19" r:id="rId3" xr:uid="{C3647CE3-C25E-4AF7-B7F2-5534E88C71C7}"/>
    <hyperlink ref="I15" r:id="rId4" xr:uid="{64DE1C06-08F5-4759-9F4D-B3BCE774DE43}"/>
    <hyperlink ref="I50" r:id="rId5" xr:uid="{1CDB83D8-68E3-4BA3-8699-E64AAB559841}"/>
    <hyperlink ref="I51" r:id="rId6" xr:uid="{C7CC04C3-6B51-4F4F-A751-A8A9FCC8EFC7}"/>
    <hyperlink ref="I16" r:id="rId7" xr:uid="{E9B44741-722F-49C6-A59D-8FD2A18137E2}"/>
    <hyperlink ref="I21" r:id="rId8" xr:uid="{A05C8382-5046-4F20-8B0F-94E8F70432D5}"/>
    <hyperlink ref="I20" r:id="rId9" xr:uid="{28A4A659-E1BB-45B5-BE24-E964A50B6B51}"/>
    <hyperlink ref="I14" r:id="rId10" xr:uid="{CA0D1125-C364-429D-A0C6-6721C7BB3E31}"/>
    <hyperlink ref="I5" r:id="rId11" xr:uid="{CAC497A8-F03A-4048-8453-2226B51C6E90}"/>
    <hyperlink ref="I3" r:id="rId12" xr:uid="{F7F68972-9B52-4445-A2A9-D287E899270D}"/>
    <hyperlink ref="L3" r:id="rId13" location=":~:text=The%20graphite%20concentrate%20(PG1)%20with,fixed%20carbon%20content%20of%2099.93%25." xr:uid="{F303FAA6-F0D6-49BB-9BCE-F3DA62C5A9AA}"/>
    <hyperlink ref="I4" r:id="rId14" xr:uid="{641E1F63-6E96-4EBA-AB92-0EC8BB9306DE}"/>
    <hyperlink ref="I2" r:id="rId15" xr:uid="{ED566E89-529A-4F2D-AC88-5AFE7DEA8135}"/>
    <hyperlink ref="I105" r:id="rId16" xr:uid="{2F1394ED-6A30-4478-9FA3-982862ADC25A}"/>
    <hyperlink ref="I103" r:id="rId17" xr:uid="{C0168317-46FF-4317-9175-F17BFB6C26E3}"/>
    <hyperlink ref="I104" r:id="rId18" xr:uid="{3FBDBBAE-35E6-4CA0-AD70-F1A38C9A8C71}"/>
    <hyperlink ref="I102" r:id="rId19" xr:uid="{BF77FC58-F724-4B52-A7DA-998380F19C9B}"/>
    <hyperlink ref="I155" r:id="rId20" xr:uid="{B2816E2F-49C2-4051-AAB2-F77567C492C7}"/>
    <hyperlink ref="I153" r:id="rId21" xr:uid="{32D193FF-4892-432B-A7CE-5AE360BD2736}"/>
    <hyperlink ref="I154" r:id="rId22" xr:uid="{9B767114-24D4-4662-9063-9A1F109CE85F}"/>
    <hyperlink ref="I152" r:id="rId23" xr:uid="{207BC6DC-A517-4C34-B143-BCE042277AAC}"/>
    <hyperlink ref="I55" r:id="rId24" xr:uid="{FF169B68-E1D5-4772-B11D-1E1BEDCB37A9}"/>
    <hyperlink ref="I53" r:id="rId25" xr:uid="{50D4CE40-A89C-4F6F-AA92-2CD82EB8DFB4}"/>
    <hyperlink ref="I54" r:id="rId26" xr:uid="{271C11C3-8139-440B-92DE-FE25680C8F1A}"/>
    <hyperlink ref="I52" r:id="rId27" xr:uid="{66372F30-ADEC-4EDA-9CAB-F9AEBAE17225}"/>
    <hyperlink ref="I205" r:id="rId28" xr:uid="{B8EF86E8-7EDD-4769-81A2-5E93A5523BB7}"/>
    <hyperlink ref="I203" r:id="rId29" xr:uid="{36864C41-2324-4A03-9729-43936CFC0ABA}"/>
    <hyperlink ref="I204" r:id="rId30" xr:uid="{1F3D0A2A-15B8-4DE6-BF49-65F2DB8BDE5D}"/>
    <hyperlink ref="I202" r:id="rId31" xr:uid="{664EB263-E7E0-47D6-B847-F885F4745676}"/>
    <hyperlink ref="I255" r:id="rId32" xr:uid="{992F9D14-A232-409C-83B8-83BA8BD7EBBB}"/>
    <hyperlink ref="I253" r:id="rId33" xr:uid="{F3177A66-7BB7-4EFC-AA3D-F936FCDAE039}"/>
    <hyperlink ref="I254" r:id="rId34" xr:uid="{24BE32F0-50A3-4839-898C-046745CE5BE4}"/>
    <hyperlink ref="I252" r:id="rId35" xr:uid="{75F1AA73-9D2E-4BC7-A71F-F2B5A43E5870}"/>
  </hyperlinks>
  <pageMargins left="0.7" right="0.7" top="0.75" bottom="0.75" header="0.3" footer="0.3"/>
  <pageSetup paperSize="9" orientation="portrait" r:id="rId36"/>
  <legacyDrawing r:id="rId37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FF11-68AB-4CF4-9BCB-3F72E3B86D11}">
  <dimension ref="A1:W59"/>
  <sheetViews>
    <sheetView workbookViewId="0"/>
  </sheetViews>
  <sheetFormatPr defaultRowHeight="15"/>
  <cols>
    <col min="1" max="1" width="33.85546875" bestFit="1" customWidth="1"/>
  </cols>
  <sheetData>
    <row r="1" spans="1:23" ht="15.75" thickBot="1">
      <c r="A1" s="81" t="s">
        <v>52</v>
      </c>
      <c r="B1" s="82" t="s">
        <v>53</v>
      </c>
      <c r="C1" s="82" t="s">
        <v>54</v>
      </c>
      <c r="D1" s="82" t="s">
        <v>55</v>
      </c>
      <c r="E1" s="82" t="s">
        <v>56</v>
      </c>
      <c r="F1" s="82" t="s">
        <v>57</v>
      </c>
      <c r="G1" s="83" t="s">
        <v>58</v>
      </c>
      <c r="I1" s="16" t="s">
        <v>59</v>
      </c>
      <c r="J1" s="16" t="s">
        <v>60</v>
      </c>
      <c r="W1" s="16"/>
    </row>
    <row r="2" spans="1:23">
      <c r="A2" s="72" t="s">
        <v>10</v>
      </c>
      <c r="B2" s="73" t="s">
        <v>225</v>
      </c>
      <c r="C2" s="73" t="s">
        <v>15</v>
      </c>
      <c r="D2" s="73" t="s">
        <v>29</v>
      </c>
      <c r="E2" s="73">
        <v>2.02</v>
      </c>
      <c r="F2" s="73">
        <v>8.0799999999999997E-2</v>
      </c>
      <c r="G2" s="74">
        <v>2010</v>
      </c>
    </row>
    <row r="3" spans="1:23">
      <c r="A3" s="75" t="str">
        <f t="shared" ref="A3:D18" si="0">A2</f>
        <v>mining_flotation_graphite</v>
      </c>
      <c r="B3" t="str">
        <f t="shared" si="0"/>
        <v>China</v>
      </c>
      <c r="C3" t="str">
        <f t="shared" si="0"/>
        <v>M1</v>
      </c>
      <c r="D3" t="str">
        <f t="shared" si="0"/>
        <v>Mt</v>
      </c>
      <c r="E3">
        <f>E2+F3</f>
        <v>2.0840000000000001</v>
      </c>
      <c r="F3">
        <v>6.4000000000000001E-2</v>
      </c>
      <c r="G3" s="76">
        <v>2015</v>
      </c>
    </row>
    <row r="4" spans="1:23">
      <c r="A4" s="75" t="s">
        <v>43</v>
      </c>
      <c r="B4" t="str">
        <f t="shared" si="0"/>
        <v>China</v>
      </c>
      <c r="C4" t="s">
        <v>15</v>
      </c>
      <c r="D4" t="s">
        <v>29</v>
      </c>
      <c r="E4">
        <v>2.02</v>
      </c>
      <c r="F4">
        <v>6.7333333333333328E-2</v>
      </c>
      <c r="G4" s="76">
        <v>2010</v>
      </c>
    </row>
    <row r="5" spans="1:23">
      <c r="A5" s="75" t="s">
        <v>43</v>
      </c>
      <c r="B5" t="str">
        <f t="shared" si="0"/>
        <v>China</v>
      </c>
      <c r="C5" t="s">
        <v>15</v>
      </c>
      <c r="D5" t="s">
        <v>29</v>
      </c>
      <c r="E5">
        <f>E4+F5</f>
        <v>2.0733333333333333</v>
      </c>
      <c r="F5">
        <v>5.3333333333333337E-2</v>
      </c>
      <c r="G5" s="76">
        <v>2015</v>
      </c>
    </row>
    <row r="6" spans="1:23">
      <c r="A6" s="75" t="s">
        <v>61</v>
      </c>
      <c r="B6" t="str">
        <f t="shared" si="0"/>
        <v>China</v>
      </c>
      <c r="C6" t="s">
        <v>15</v>
      </c>
      <c r="D6" t="s">
        <v>29</v>
      </c>
      <c r="E6" s="80">
        <v>5</v>
      </c>
      <c r="F6" s="80">
        <f>E6*0.1</f>
        <v>0.5</v>
      </c>
      <c r="G6" s="76">
        <v>2010</v>
      </c>
    </row>
    <row r="7" spans="1:23">
      <c r="A7" s="75" t="s">
        <v>62</v>
      </c>
      <c r="B7" t="str">
        <f t="shared" si="0"/>
        <v>China</v>
      </c>
      <c r="C7" t="s">
        <v>15</v>
      </c>
      <c r="D7" t="s">
        <v>29</v>
      </c>
      <c r="E7" s="80">
        <v>1.5</v>
      </c>
      <c r="F7" s="80">
        <f>E7*0.1</f>
        <v>0.15000000000000002</v>
      </c>
      <c r="G7" s="76">
        <v>2010</v>
      </c>
    </row>
    <row r="8" spans="1:23">
      <c r="A8" s="75" t="s">
        <v>63</v>
      </c>
      <c r="B8" t="str">
        <f t="shared" si="0"/>
        <v>China</v>
      </c>
      <c r="C8" t="s">
        <v>15</v>
      </c>
      <c r="D8" t="s">
        <v>29</v>
      </c>
      <c r="E8">
        <v>0.36</v>
      </c>
      <c r="F8">
        <v>0.03</v>
      </c>
      <c r="G8" s="76">
        <v>2010</v>
      </c>
    </row>
    <row r="9" spans="1:23">
      <c r="A9" s="75" t="s">
        <v>61</v>
      </c>
      <c r="B9" t="str">
        <f t="shared" si="0"/>
        <v>China</v>
      </c>
      <c r="C9" t="s">
        <v>15</v>
      </c>
      <c r="D9" t="s">
        <v>29</v>
      </c>
      <c r="E9" s="80">
        <v>7</v>
      </c>
      <c r="F9" s="80">
        <f>E9*0.1</f>
        <v>0.70000000000000007</v>
      </c>
      <c r="G9" s="76">
        <v>2015</v>
      </c>
    </row>
    <row r="10" spans="1:23">
      <c r="A10" s="75" t="s">
        <v>62</v>
      </c>
      <c r="B10" t="str">
        <f t="shared" si="0"/>
        <v>China</v>
      </c>
      <c r="C10" t="s">
        <v>15</v>
      </c>
      <c r="D10" t="s">
        <v>29</v>
      </c>
      <c r="E10" s="80">
        <v>2</v>
      </c>
      <c r="F10" s="80">
        <f>(E10-E7)/5</f>
        <v>0.1</v>
      </c>
      <c r="G10" s="76">
        <v>2015</v>
      </c>
    </row>
    <row r="11" spans="1:23">
      <c r="A11" s="75" t="s">
        <v>63</v>
      </c>
      <c r="B11" t="str">
        <f t="shared" si="0"/>
        <v>China</v>
      </c>
      <c r="C11" t="s">
        <v>15</v>
      </c>
      <c r="D11" t="s">
        <v>29</v>
      </c>
      <c r="E11">
        <v>0.9</v>
      </c>
      <c r="F11">
        <v>0.05</v>
      </c>
      <c r="G11" s="76">
        <v>2015</v>
      </c>
    </row>
    <row r="12" spans="1:23">
      <c r="A12" s="75" t="s">
        <v>64</v>
      </c>
      <c r="B12" t="str">
        <f t="shared" si="0"/>
        <v>China</v>
      </c>
      <c r="C12" t="s">
        <v>15</v>
      </c>
      <c r="D12" t="s">
        <v>29</v>
      </c>
      <c r="E12">
        <v>6.2E-2</v>
      </c>
      <c r="F12">
        <f>E12*0.1</f>
        <v>6.2000000000000006E-3</v>
      </c>
      <c r="G12" s="76">
        <v>2010</v>
      </c>
      <c r="I12" s="38" t="s">
        <v>65</v>
      </c>
      <c r="J12" t="s">
        <v>66</v>
      </c>
    </row>
    <row r="13" spans="1:23">
      <c r="A13" s="75" t="s">
        <v>67</v>
      </c>
      <c r="B13" t="str">
        <f t="shared" si="0"/>
        <v>China</v>
      </c>
      <c r="C13" t="s">
        <v>15</v>
      </c>
      <c r="D13" t="s">
        <v>29</v>
      </c>
      <c r="E13">
        <v>0</v>
      </c>
      <c r="F13">
        <v>0</v>
      </c>
      <c r="G13" s="76">
        <v>2010</v>
      </c>
    </row>
    <row r="14" spans="1:23">
      <c r="A14" s="75" t="s">
        <v>68</v>
      </c>
      <c r="B14" t="str">
        <f t="shared" si="0"/>
        <v>China</v>
      </c>
      <c r="C14" t="s">
        <v>15</v>
      </c>
      <c r="D14" t="s">
        <v>29</v>
      </c>
      <c r="E14">
        <v>0.1</v>
      </c>
      <c r="F14">
        <f>E14*0.1</f>
        <v>1.0000000000000002E-2</v>
      </c>
      <c r="G14" s="76">
        <v>2010</v>
      </c>
      <c r="I14" s="38" t="s">
        <v>242</v>
      </c>
      <c r="J14" t="s">
        <v>243</v>
      </c>
    </row>
    <row r="15" spans="1:23">
      <c r="A15" s="75" t="s">
        <v>64</v>
      </c>
      <c r="B15" t="str">
        <f t="shared" si="0"/>
        <v>China</v>
      </c>
      <c r="C15" t="s">
        <v>15</v>
      </c>
      <c r="D15" t="s">
        <v>29</v>
      </c>
      <c r="E15">
        <f>0.0141+0.055</f>
        <v>6.9099999999999995E-2</v>
      </c>
      <c r="F15">
        <f>(E15-E12)/5</f>
        <v>1.419999999999999E-3</v>
      </c>
      <c r="G15" s="76">
        <v>2015</v>
      </c>
      <c r="I15" s="38" t="s">
        <v>69</v>
      </c>
      <c r="J15" t="s">
        <v>70</v>
      </c>
    </row>
    <row r="16" spans="1:23">
      <c r="A16" s="75" t="s">
        <v>67</v>
      </c>
      <c r="B16" t="str">
        <f t="shared" si="0"/>
        <v>China</v>
      </c>
      <c r="C16" t="s">
        <v>15</v>
      </c>
      <c r="D16" t="s">
        <v>29</v>
      </c>
      <c r="E16">
        <v>0.14000000000000001</v>
      </c>
      <c r="F16">
        <f>(E16-E14)/5</f>
        <v>8.0000000000000019E-3</v>
      </c>
      <c r="G16" s="76">
        <v>2015</v>
      </c>
      <c r="I16" s="38" t="s">
        <v>242</v>
      </c>
    </row>
    <row r="17" spans="1:10">
      <c r="A17" s="75" t="s">
        <v>68</v>
      </c>
      <c r="B17" t="str">
        <f t="shared" si="0"/>
        <v>China</v>
      </c>
      <c r="C17" t="s">
        <v>15</v>
      </c>
      <c r="D17" t="s">
        <v>29</v>
      </c>
      <c r="E17">
        <v>0</v>
      </c>
      <c r="F17">
        <v>0</v>
      </c>
      <c r="G17" s="76">
        <v>2015</v>
      </c>
    </row>
    <row r="18" spans="1:10">
      <c r="A18" s="75" t="s">
        <v>71</v>
      </c>
      <c r="B18" t="str">
        <f t="shared" si="0"/>
        <v>China</v>
      </c>
      <c r="C18" t="s">
        <v>15</v>
      </c>
      <c r="D18" t="s">
        <v>29</v>
      </c>
      <c r="E18">
        <f>0.295+0.021</f>
        <v>0.316</v>
      </c>
      <c r="F18">
        <f>E18*0.1</f>
        <v>3.1600000000000003E-2</v>
      </c>
      <c r="G18" s="76">
        <v>2010</v>
      </c>
      <c r="I18" s="38" t="s">
        <v>65</v>
      </c>
      <c r="J18" t="s">
        <v>66</v>
      </c>
    </row>
    <row r="19" spans="1:10">
      <c r="A19" s="75" t="s">
        <v>71</v>
      </c>
      <c r="B19" t="str">
        <f t="shared" ref="B19:B51" si="1">B18</f>
        <v>China</v>
      </c>
      <c r="C19" t="s">
        <v>15</v>
      </c>
      <c r="D19" t="s">
        <v>29</v>
      </c>
      <c r="E19">
        <v>0.49</v>
      </c>
      <c r="F19">
        <f>(E19-E18)/5</f>
        <v>3.4799999999999998E-2</v>
      </c>
      <c r="G19" s="76">
        <v>2015</v>
      </c>
      <c r="I19" s="38" t="s">
        <v>69</v>
      </c>
      <c r="J19" t="s">
        <v>70</v>
      </c>
    </row>
    <row r="20" spans="1:10">
      <c r="A20" s="75" t="s">
        <v>72</v>
      </c>
      <c r="B20" t="str">
        <f t="shared" si="1"/>
        <v>China</v>
      </c>
      <c r="C20" t="s">
        <v>15</v>
      </c>
      <c r="D20" t="s">
        <v>29</v>
      </c>
      <c r="E20" s="80">
        <v>0.06</v>
      </c>
      <c r="F20" s="80">
        <f>E20*0.1</f>
        <v>6.0000000000000001E-3</v>
      </c>
      <c r="G20" s="76">
        <v>2010</v>
      </c>
      <c r="I20" s="38" t="s">
        <v>242</v>
      </c>
      <c r="J20" t="s">
        <v>244</v>
      </c>
    </row>
    <row r="21" spans="1:10">
      <c r="A21" s="75" t="s">
        <v>72</v>
      </c>
      <c r="B21" t="str">
        <f t="shared" si="1"/>
        <v>China</v>
      </c>
      <c r="C21" t="s">
        <v>15</v>
      </c>
      <c r="D21" t="s">
        <v>29</v>
      </c>
      <c r="E21" s="80">
        <v>0.17299999999999999</v>
      </c>
      <c r="F21" s="80">
        <f>(E21-E20)/5</f>
        <v>2.2599999999999999E-2</v>
      </c>
      <c r="G21" s="76">
        <v>2015</v>
      </c>
      <c r="I21" s="38" t="s">
        <v>242</v>
      </c>
    </row>
    <row r="22" spans="1:10">
      <c r="A22" s="75" t="s">
        <v>73</v>
      </c>
      <c r="B22" t="str">
        <f t="shared" si="1"/>
        <v>China</v>
      </c>
      <c r="C22" t="s">
        <v>15</v>
      </c>
      <c r="D22" t="s">
        <v>29</v>
      </c>
      <c r="E22">
        <f>0.165*100</f>
        <v>16.5</v>
      </c>
      <c r="F22">
        <f>E22*0.1</f>
        <v>1.6500000000000001</v>
      </c>
      <c r="G22" s="76">
        <v>2010</v>
      </c>
      <c r="I22" s="38" t="s">
        <v>74</v>
      </c>
      <c r="J22" t="s">
        <v>66</v>
      </c>
    </row>
    <row r="23" spans="1:10">
      <c r="A23" s="75" t="s">
        <v>73</v>
      </c>
      <c r="B23" t="str">
        <f t="shared" si="1"/>
        <v>China</v>
      </c>
      <c r="C23" t="s">
        <v>15</v>
      </c>
      <c r="D23" t="s">
        <v>29</v>
      </c>
      <c r="E23">
        <f>0.339*100</f>
        <v>33.900000000000006</v>
      </c>
      <c r="F23">
        <f>(E23-E22)/5</f>
        <v>3.4800000000000013</v>
      </c>
      <c r="G23" s="76">
        <v>2015</v>
      </c>
      <c r="I23" s="38" t="s">
        <v>74</v>
      </c>
      <c r="J23" t="s">
        <v>70</v>
      </c>
    </row>
    <row r="24" spans="1:10">
      <c r="A24" s="75" t="s">
        <v>75</v>
      </c>
      <c r="B24" t="str">
        <f t="shared" si="1"/>
        <v>China</v>
      </c>
      <c r="C24" t="s">
        <v>15</v>
      </c>
      <c r="D24" t="s">
        <v>29</v>
      </c>
      <c r="E24" s="56">
        <v>8.6199999999999992E-3</v>
      </c>
      <c r="F24" s="56">
        <f>E24*0.1</f>
        <v>8.6199999999999992E-4</v>
      </c>
      <c r="G24" s="76">
        <v>2010</v>
      </c>
      <c r="I24" s="38" t="s">
        <v>76</v>
      </c>
      <c r="J24" t="s">
        <v>66</v>
      </c>
    </row>
    <row r="25" spans="1:10">
      <c r="A25" s="75" t="s">
        <v>75</v>
      </c>
      <c r="B25" t="str">
        <f t="shared" si="1"/>
        <v>China</v>
      </c>
      <c r="C25" t="s">
        <v>15</v>
      </c>
      <c r="D25" t="s">
        <v>29</v>
      </c>
      <c r="E25" s="56">
        <v>4.4499999999999998E-2</v>
      </c>
      <c r="F25" s="56">
        <f>(E25-E24)/5</f>
        <v>7.1759999999999992E-3</v>
      </c>
      <c r="G25" s="76">
        <v>2015</v>
      </c>
      <c r="I25" s="38" t="s">
        <v>77</v>
      </c>
      <c r="J25" t="s">
        <v>78</v>
      </c>
    </row>
    <row r="26" spans="1:10">
      <c r="A26" s="75" t="s">
        <v>79</v>
      </c>
      <c r="B26" t="str">
        <f t="shared" si="1"/>
        <v>China</v>
      </c>
      <c r="C26" t="s">
        <v>15</v>
      </c>
      <c r="D26" t="s">
        <v>29</v>
      </c>
      <c r="E26" s="80">
        <f>E28*5</f>
        <v>0.6</v>
      </c>
      <c r="F26" s="80">
        <f>F28*5</f>
        <v>0.06</v>
      </c>
      <c r="G26" s="76">
        <v>2010</v>
      </c>
    </row>
    <row r="27" spans="1:10">
      <c r="A27" s="75" t="s">
        <v>79</v>
      </c>
      <c r="B27" t="str">
        <f t="shared" si="1"/>
        <v>China</v>
      </c>
      <c r="C27" t="s">
        <v>15</v>
      </c>
      <c r="D27" t="s">
        <v>29</v>
      </c>
      <c r="E27" s="80">
        <f>E29*5</f>
        <v>0.97500000000000009</v>
      </c>
      <c r="F27" s="80">
        <f>F29*5</f>
        <v>7.5000000000000011E-2</v>
      </c>
      <c r="G27" s="76">
        <v>2015</v>
      </c>
    </row>
    <row r="28" spans="1:10">
      <c r="A28" s="75" t="s">
        <v>80</v>
      </c>
      <c r="B28" t="str">
        <f t="shared" si="1"/>
        <v>China</v>
      </c>
      <c r="C28" t="s">
        <v>15</v>
      </c>
      <c r="D28" t="s">
        <v>29</v>
      </c>
      <c r="E28" s="80">
        <v>0.12</v>
      </c>
      <c r="F28" s="80">
        <f>E28*0.1</f>
        <v>1.2E-2</v>
      </c>
      <c r="G28" s="76">
        <v>2010</v>
      </c>
    </row>
    <row r="29" spans="1:10">
      <c r="A29" s="75" t="s">
        <v>80</v>
      </c>
      <c r="B29" t="str">
        <f t="shared" si="1"/>
        <v>China</v>
      </c>
      <c r="C29" t="s">
        <v>15</v>
      </c>
      <c r="D29" t="s">
        <v>29</v>
      </c>
      <c r="E29" s="80">
        <v>0.19500000000000001</v>
      </c>
      <c r="F29" s="80">
        <f>(E29-E28)/5</f>
        <v>1.5000000000000003E-2</v>
      </c>
      <c r="G29" s="76">
        <v>2015</v>
      </c>
    </row>
    <row r="30" spans="1:10">
      <c r="A30" s="75" t="s">
        <v>81</v>
      </c>
      <c r="B30" t="str">
        <f t="shared" si="1"/>
        <v>China</v>
      </c>
      <c r="C30" t="s">
        <v>15</v>
      </c>
      <c r="D30" t="s">
        <v>29</v>
      </c>
      <c r="E30" s="13">
        <v>4.8943E-2</v>
      </c>
      <c r="F30" s="56">
        <f>E30*0.1</f>
        <v>4.8943000000000007E-3</v>
      </c>
      <c r="G30" s="76">
        <v>2010</v>
      </c>
      <c r="I30" s="38" t="s">
        <v>82</v>
      </c>
      <c r="J30" t="s">
        <v>83</v>
      </c>
    </row>
    <row r="31" spans="1:10">
      <c r="A31" s="75" t="s">
        <v>81</v>
      </c>
      <c r="B31" t="str">
        <f t="shared" si="1"/>
        <v>China</v>
      </c>
      <c r="C31" t="s">
        <v>15</v>
      </c>
      <c r="D31" t="s">
        <v>29</v>
      </c>
      <c r="E31" s="13">
        <v>6.4276E-2</v>
      </c>
      <c r="F31" s="56">
        <f>(E31-E30)/5</f>
        <v>3.0666000000000001E-3</v>
      </c>
      <c r="G31" s="76">
        <v>2015</v>
      </c>
      <c r="I31" s="38" t="s">
        <v>84</v>
      </c>
      <c r="J31" t="s">
        <v>85</v>
      </c>
    </row>
    <row r="32" spans="1:10">
      <c r="A32" s="75" t="s">
        <v>86</v>
      </c>
      <c r="B32" t="str">
        <f t="shared" si="1"/>
        <v>China</v>
      </c>
      <c r="C32" t="s">
        <v>15</v>
      </c>
      <c r="D32" t="s">
        <v>29</v>
      </c>
      <c r="E32">
        <v>1</v>
      </c>
      <c r="F32">
        <f>E32*0.1</f>
        <v>0.1</v>
      </c>
      <c r="G32" s="76">
        <v>2010</v>
      </c>
      <c r="I32" s="38"/>
    </row>
    <row r="33" spans="1:9">
      <c r="A33" s="75" t="s">
        <v>86</v>
      </c>
      <c r="B33" t="str">
        <f t="shared" si="1"/>
        <v>China</v>
      </c>
      <c r="C33" t="s">
        <v>15</v>
      </c>
      <c r="D33" t="s">
        <v>29</v>
      </c>
      <c r="E33">
        <v>1.1000000000000001</v>
      </c>
      <c r="F33">
        <f>(E33-E32)/5</f>
        <v>2.0000000000000018E-2</v>
      </c>
      <c r="G33" s="76">
        <v>2015</v>
      </c>
    </row>
    <row r="34" spans="1:9">
      <c r="A34" s="75" t="s">
        <v>87</v>
      </c>
      <c r="B34" t="str">
        <f t="shared" si="1"/>
        <v>China</v>
      </c>
      <c r="C34" t="s">
        <v>15</v>
      </c>
      <c r="D34" t="s">
        <v>29</v>
      </c>
      <c r="E34">
        <v>1</v>
      </c>
      <c r="F34">
        <f>E34*0.1</f>
        <v>0.1</v>
      </c>
      <c r="G34" s="76">
        <v>2010</v>
      </c>
    </row>
    <row r="35" spans="1:9">
      <c r="A35" s="75" t="s">
        <v>87</v>
      </c>
      <c r="B35" t="str">
        <f t="shared" si="1"/>
        <v>China</v>
      </c>
      <c r="C35" t="s">
        <v>15</v>
      </c>
      <c r="D35" t="s">
        <v>29</v>
      </c>
      <c r="E35" s="80">
        <v>1</v>
      </c>
      <c r="F35">
        <f t="shared" ref="F35:F49" si="2">E35*0.1</f>
        <v>0.1</v>
      </c>
      <c r="G35" s="76">
        <v>2015</v>
      </c>
      <c r="I35" t="s">
        <v>88</v>
      </c>
    </row>
    <row r="36" spans="1:9">
      <c r="A36" s="75" t="s">
        <v>89</v>
      </c>
      <c r="B36" t="str">
        <f t="shared" si="1"/>
        <v>China</v>
      </c>
      <c r="C36" t="s">
        <v>15</v>
      </c>
      <c r="D36" t="s">
        <v>29</v>
      </c>
      <c r="E36">
        <v>1</v>
      </c>
      <c r="F36">
        <f t="shared" si="2"/>
        <v>0.1</v>
      </c>
      <c r="G36" s="76">
        <v>2010</v>
      </c>
      <c r="I36" t="s">
        <v>90</v>
      </c>
    </row>
    <row r="37" spans="1:9">
      <c r="A37" s="75" t="s">
        <v>89</v>
      </c>
      <c r="B37" t="str">
        <f t="shared" si="1"/>
        <v>China</v>
      </c>
      <c r="C37" t="s">
        <v>15</v>
      </c>
      <c r="D37" t="s">
        <v>29</v>
      </c>
      <c r="E37" s="80">
        <v>1</v>
      </c>
      <c r="F37">
        <f t="shared" si="2"/>
        <v>0.1</v>
      </c>
      <c r="G37" s="76">
        <v>2015</v>
      </c>
      <c r="I37" t="s">
        <v>91</v>
      </c>
    </row>
    <row r="38" spans="1:9">
      <c r="A38" s="75" t="s">
        <v>92</v>
      </c>
      <c r="B38" t="str">
        <f t="shared" si="1"/>
        <v>China</v>
      </c>
      <c r="C38" t="s">
        <v>15</v>
      </c>
      <c r="D38" t="s">
        <v>29</v>
      </c>
      <c r="E38">
        <v>1</v>
      </c>
      <c r="F38">
        <f t="shared" si="2"/>
        <v>0.1</v>
      </c>
      <c r="G38" s="76">
        <v>2010</v>
      </c>
      <c r="I38" t="s">
        <v>93</v>
      </c>
    </row>
    <row r="39" spans="1:9">
      <c r="A39" s="75" t="s">
        <v>92</v>
      </c>
      <c r="B39" t="str">
        <f t="shared" si="1"/>
        <v>China</v>
      </c>
      <c r="C39" t="s">
        <v>15</v>
      </c>
      <c r="D39" t="s">
        <v>29</v>
      </c>
      <c r="E39">
        <v>1</v>
      </c>
      <c r="F39">
        <f t="shared" si="2"/>
        <v>0.1</v>
      </c>
      <c r="G39" s="76">
        <v>2015</v>
      </c>
      <c r="I39" s="57" t="s">
        <v>94</v>
      </c>
    </row>
    <row r="40" spans="1:9">
      <c r="A40" s="75" t="s">
        <v>95</v>
      </c>
      <c r="B40" t="str">
        <f t="shared" si="1"/>
        <v>China</v>
      </c>
      <c r="C40" t="s">
        <v>15</v>
      </c>
      <c r="D40" t="s">
        <v>29</v>
      </c>
      <c r="E40">
        <v>1</v>
      </c>
      <c r="F40">
        <f t="shared" si="2"/>
        <v>0.1</v>
      </c>
      <c r="G40" s="76">
        <v>2010</v>
      </c>
      <c r="I40" s="57" t="s">
        <v>96</v>
      </c>
    </row>
    <row r="41" spans="1:9">
      <c r="A41" s="75" t="s">
        <v>95</v>
      </c>
      <c r="B41" t="str">
        <f t="shared" si="1"/>
        <v>China</v>
      </c>
      <c r="C41" t="s">
        <v>15</v>
      </c>
      <c r="D41" t="s">
        <v>29</v>
      </c>
      <c r="E41">
        <v>1</v>
      </c>
      <c r="F41">
        <f t="shared" si="2"/>
        <v>0.1</v>
      </c>
      <c r="G41" s="76">
        <v>2015</v>
      </c>
      <c r="I41" s="57"/>
    </row>
    <row r="42" spans="1:9">
      <c r="A42" s="75" t="s">
        <v>97</v>
      </c>
      <c r="B42" t="str">
        <f t="shared" si="1"/>
        <v>China</v>
      </c>
      <c r="C42" t="s">
        <v>15</v>
      </c>
      <c r="D42" t="s">
        <v>29</v>
      </c>
      <c r="E42">
        <v>1</v>
      </c>
      <c r="F42">
        <f t="shared" si="2"/>
        <v>0.1</v>
      </c>
      <c r="G42" s="76">
        <v>2010</v>
      </c>
      <c r="I42" s="57"/>
    </row>
    <row r="43" spans="1:9">
      <c r="A43" s="75" t="s">
        <v>97</v>
      </c>
      <c r="B43" t="str">
        <f t="shared" si="1"/>
        <v>China</v>
      </c>
      <c r="C43" t="s">
        <v>15</v>
      </c>
      <c r="D43" t="s">
        <v>29</v>
      </c>
      <c r="E43">
        <v>1</v>
      </c>
      <c r="F43">
        <f t="shared" si="2"/>
        <v>0.1</v>
      </c>
      <c r="G43" s="76">
        <v>2015</v>
      </c>
      <c r="I43" s="57"/>
    </row>
    <row r="44" spans="1:9">
      <c r="A44" s="75" t="s">
        <v>98</v>
      </c>
      <c r="B44" t="str">
        <f t="shared" si="1"/>
        <v>China</v>
      </c>
      <c r="C44" t="s">
        <v>15</v>
      </c>
      <c r="D44" t="s">
        <v>29</v>
      </c>
      <c r="E44">
        <v>1</v>
      </c>
      <c r="F44">
        <f t="shared" si="2"/>
        <v>0.1</v>
      </c>
      <c r="G44" s="76">
        <v>2010</v>
      </c>
    </row>
    <row r="45" spans="1:9">
      <c r="A45" s="75" t="s">
        <v>98</v>
      </c>
      <c r="B45" t="str">
        <f t="shared" si="1"/>
        <v>China</v>
      </c>
      <c r="C45" t="s">
        <v>15</v>
      </c>
      <c r="D45" t="s">
        <v>29</v>
      </c>
      <c r="E45">
        <v>1</v>
      </c>
      <c r="F45">
        <f t="shared" si="2"/>
        <v>0.1</v>
      </c>
      <c r="G45" s="76">
        <v>2015</v>
      </c>
    </row>
    <row r="46" spans="1:9">
      <c r="A46" s="75" t="s">
        <v>99</v>
      </c>
      <c r="B46" t="str">
        <f t="shared" si="1"/>
        <v>China</v>
      </c>
      <c r="C46" t="s">
        <v>15</v>
      </c>
      <c r="D46" t="s">
        <v>29</v>
      </c>
      <c r="E46">
        <v>1</v>
      </c>
      <c r="F46">
        <f t="shared" si="2"/>
        <v>0.1</v>
      </c>
      <c r="G46" s="76">
        <v>2010</v>
      </c>
    </row>
    <row r="47" spans="1:9">
      <c r="A47" s="75" t="s">
        <v>99</v>
      </c>
      <c r="B47" t="str">
        <f t="shared" si="1"/>
        <v>China</v>
      </c>
      <c r="C47" t="s">
        <v>15</v>
      </c>
      <c r="D47" t="s">
        <v>29</v>
      </c>
      <c r="E47">
        <v>1</v>
      </c>
      <c r="F47">
        <f t="shared" si="2"/>
        <v>0.1</v>
      </c>
      <c r="G47" s="76">
        <v>2015</v>
      </c>
    </row>
    <row r="48" spans="1:9">
      <c r="A48" s="75" t="s">
        <v>100</v>
      </c>
      <c r="B48" t="str">
        <f t="shared" si="1"/>
        <v>China</v>
      </c>
      <c r="C48" t="s">
        <v>15</v>
      </c>
      <c r="D48" t="s">
        <v>29</v>
      </c>
      <c r="E48">
        <v>1</v>
      </c>
      <c r="F48">
        <f t="shared" si="2"/>
        <v>0.1</v>
      </c>
      <c r="G48" s="76">
        <v>2010</v>
      </c>
    </row>
    <row r="49" spans="1:10">
      <c r="A49" s="75" t="s">
        <v>100</v>
      </c>
      <c r="B49" t="str">
        <f t="shared" si="1"/>
        <v>China</v>
      </c>
      <c r="C49" t="s">
        <v>15</v>
      </c>
      <c r="D49" t="s">
        <v>29</v>
      </c>
      <c r="E49">
        <v>1</v>
      </c>
      <c r="F49">
        <f t="shared" si="2"/>
        <v>0.1</v>
      </c>
      <c r="G49" s="76">
        <v>2015</v>
      </c>
    </row>
    <row r="50" spans="1:10">
      <c r="A50" s="75" t="s">
        <v>101</v>
      </c>
      <c r="B50" t="str">
        <f t="shared" si="1"/>
        <v>China</v>
      </c>
      <c r="C50" t="s">
        <v>15</v>
      </c>
      <c r="D50" t="s">
        <v>29</v>
      </c>
      <c r="E50">
        <v>12.5</v>
      </c>
      <c r="F50">
        <f>E50*0.1</f>
        <v>1.25</v>
      </c>
      <c r="G50" s="76">
        <v>2010</v>
      </c>
      <c r="I50" s="38" t="s">
        <v>102</v>
      </c>
      <c r="J50" t="s">
        <v>103</v>
      </c>
    </row>
    <row r="51" spans="1:10" ht="15.75" thickBot="1">
      <c r="A51" s="77" t="s">
        <v>101</v>
      </c>
      <c r="B51" s="78" t="str">
        <f t="shared" si="1"/>
        <v>China</v>
      </c>
      <c r="C51" s="78" t="s">
        <v>15</v>
      </c>
      <c r="D51" s="78" t="s">
        <v>29</v>
      </c>
      <c r="E51" s="78">
        <v>14.5</v>
      </c>
      <c r="F51" s="78">
        <f>(E51-E50)/5</f>
        <v>0.4</v>
      </c>
      <c r="G51" s="79">
        <v>2015</v>
      </c>
      <c r="I51" s="38" t="s">
        <v>104</v>
      </c>
      <c r="J51" t="s">
        <v>103</v>
      </c>
    </row>
    <row r="52" spans="1:10">
      <c r="A52" t="s">
        <v>113</v>
      </c>
      <c r="B52" t="s">
        <v>225</v>
      </c>
      <c r="C52" t="s">
        <v>15</v>
      </c>
      <c r="D52" t="s">
        <v>114</v>
      </c>
      <c r="E52">
        <v>1</v>
      </c>
      <c r="F52">
        <v>0.1</v>
      </c>
      <c r="G52">
        <v>2010</v>
      </c>
    </row>
    <row r="53" spans="1:10">
      <c r="A53" t="s">
        <v>113</v>
      </c>
      <c r="B53" t="s">
        <v>225</v>
      </c>
      <c r="C53" t="s">
        <v>15</v>
      </c>
      <c r="D53" t="s">
        <v>114</v>
      </c>
      <c r="E53">
        <v>3</v>
      </c>
      <c r="F53">
        <f>(E53-E52)/5</f>
        <v>0.4</v>
      </c>
      <c r="G53">
        <v>2015</v>
      </c>
    </row>
    <row r="54" spans="1:10">
      <c r="A54" t="s">
        <v>107</v>
      </c>
      <c r="B54" t="s">
        <v>225</v>
      </c>
      <c r="C54" t="s">
        <v>15</v>
      </c>
      <c r="D54" t="s">
        <v>114</v>
      </c>
      <c r="E54">
        <v>4</v>
      </c>
      <c r="F54">
        <f>E54/10</f>
        <v>0.4</v>
      </c>
      <c r="G54">
        <v>2010</v>
      </c>
    </row>
    <row r="55" spans="1:10">
      <c r="A55" t="s">
        <v>107</v>
      </c>
      <c r="B55" t="s">
        <v>225</v>
      </c>
      <c r="C55" t="s">
        <v>15</v>
      </c>
      <c r="D55" t="s">
        <v>114</v>
      </c>
      <c r="E55">
        <v>8</v>
      </c>
      <c r="F55">
        <f>(E55-E54)/5</f>
        <v>0.8</v>
      </c>
      <c r="G55">
        <v>2015</v>
      </c>
    </row>
    <row r="56" spans="1:10">
      <c r="A56" t="s">
        <v>108</v>
      </c>
      <c r="B56" t="s">
        <v>225</v>
      </c>
      <c r="C56" t="s">
        <v>15</v>
      </c>
      <c r="D56" t="s">
        <v>114</v>
      </c>
      <c r="E56">
        <v>4</v>
      </c>
      <c r="F56">
        <f>E56/10</f>
        <v>0.4</v>
      </c>
      <c r="G56">
        <v>2010</v>
      </c>
    </row>
    <row r="57" spans="1:10">
      <c r="A57" t="s">
        <v>108</v>
      </c>
      <c r="B57" t="s">
        <v>225</v>
      </c>
      <c r="C57" t="s">
        <v>15</v>
      </c>
      <c r="D57" t="s">
        <v>114</v>
      </c>
      <c r="E57">
        <v>8</v>
      </c>
      <c r="F57">
        <f>(E57-E56)/5</f>
        <v>0.8</v>
      </c>
      <c r="G57">
        <v>2015</v>
      </c>
    </row>
    <row r="58" spans="1:10">
      <c r="A58" t="s">
        <v>109</v>
      </c>
      <c r="B58" t="s">
        <v>225</v>
      </c>
      <c r="C58" t="s">
        <v>15</v>
      </c>
      <c r="D58" t="s">
        <v>114</v>
      </c>
      <c r="E58">
        <v>1</v>
      </c>
      <c r="F58">
        <v>0.1</v>
      </c>
      <c r="G58">
        <v>2010</v>
      </c>
    </row>
    <row r="59" spans="1:10">
      <c r="A59" t="s">
        <v>109</v>
      </c>
      <c r="B59" t="s">
        <v>225</v>
      </c>
      <c r="C59" t="s">
        <v>15</v>
      </c>
      <c r="D59" t="s">
        <v>114</v>
      </c>
      <c r="E59">
        <v>3</v>
      </c>
      <c r="F59">
        <f>(E59-E58)/5</f>
        <v>0.4</v>
      </c>
      <c r="G59">
        <v>2015</v>
      </c>
    </row>
  </sheetData>
  <hyperlinks>
    <hyperlink ref="I18" r:id="rId1" xr:uid="{6D51E565-19B3-4579-AB39-13D2BA0E255A}"/>
    <hyperlink ref="I12" r:id="rId2" xr:uid="{1E86FA95-254F-4680-88D1-165B1DC13B69}"/>
    <hyperlink ref="I19" r:id="rId3" xr:uid="{ABB01EC0-1D02-44CF-AE9D-7398B664ABFF}"/>
    <hyperlink ref="I15" r:id="rId4" xr:uid="{82A4E82E-D8F1-4F79-A27B-D356C831C134}"/>
    <hyperlink ref="I22" r:id="rId5" xr:uid="{9AB8436C-42BB-4C55-95A3-5DD13E264756}"/>
    <hyperlink ref="I23" r:id="rId6" xr:uid="{BC4D9C14-DB66-4CE4-84A5-D2B06AFEADB5}"/>
    <hyperlink ref="I30" r:id="rId7" xr:uid="{580D4F6C-71ED-445A-AED2-27E509497830}"/>
    <hyperlink ref="I31" r:id="rId8" xr:uid="{46003710-0409-4A6E-94A5-F08A7B8E2C72}"/>
    <hyperlink ref="I25" r:id="rId9" xr:uid="{29E6F61E-660A-4386-B7F0-692E5C9790C6}"/>
    <hyperlink ref="I24" r:id="rId10" xr:uid="{539D9D25-05FE-4B6D-8FCC-E2EF33209153}"/>
    <hyperlink ref="I50" r:id="rId11" xr:uid="{520E1FED-59C2-43D2-9A54-B7FCD5230858}"/>
    <hyperlink ref="I51" r:id="rId12" xr:uid="{DCCC7C39-E149-423F-928C-2373AA85D640}"/>
    <hyperlink ref="I16" r:id="rId13" xr:uid="{8B9BF8B8-9A39-4FFB-A139-D4384E7BA5F2}"/>
    <hyperlink ref="I21" r:id="rId14" xr:uid="{E308A0C8-95BD-46EE-83C5-630613C6E75F}"/>
    <hyperlink ref="I20" r:id="rId15" xr:uid="{1FA80B00-7861-4695-BE85-F07A9B353A44}"/>
    <hyperlink ref="I14" r:id="rId16" xr:uid="{DE37DF5D-25A0-4CA4-A4CB-FC3B266D40AA}"/>
  </hyperlinks>
  <pageMargins left="0.7" right="0.7" top="0.75" bottom="0.75" header="0.3" footer="0.3"/>
  <pageSetup paperSize="9" orientation="portrait" r:id="rId17"/>
  <legacyDrawing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EBD5-930A-4C71-82D5-8B69B0093FE1}">
  <dimension ref="A2:F22"/>
  <sheetViews>
    <sheetView workbookViewId="0"/>
  </sheetViews>
  <sheetFormatPr defaultRowHeight="15"/>
  <cols>
    <col min="1" max="1" width="10.85546875" bestFit="1" customWidth="1"/>
    <col min="2" max="2" width="15.140625" bestFit="1" customWidth="1"/>
    <col min="3" max="3" width="19.28515625" bestFit="1" customWidth="1"/>
    <col min="5" max="5" width="10.28515625" bestFit="1" customWidth="1"/>
    <col min="6" max="6" width="11" bestFit="1" customWidth="1"/>
  </cols>
  <sheetData>
    <row r="2" spans="1:6">
      <c r="B2" s="16" t="s">
        <v>258</v>
      </c>
      <c r="C2" t="s">
        <v>259</v>
      </c>
    </row>
    <row r="3" spans="1:6">
      <c r="B3" s="16" t="s">
        <v>260</v>
      </c>
      <c r="C3">
        <v>2022</v>
      </c>
    </row>
    <row r="4" spans="1:6">
      <c r="B4" s="16" t="s">
        <v>261</v>
      </c>
      <c r="C4" t="s">
        <v>262</v>
      </c>
    </row>
    <row r="6" spans="1:6">
      <c r="C6" s="90" t="s">
        <v>263</v>
      </c>
      <c r="D6" s="91" t="s">
        <v>265</v>
      </c>
      <c r="E6" s="89" t="s">
        <v>266</v>
      </c>
      <c r="F6" s="89" t="s">
        <v>267</v>
      </c>
    </row>
    <row r="7" spans="1:6">
      <c r="A7" s="171" t="s">
        <v>268</v>
      </c>
      <c r="B7" s="101" t="s">
        <v>225</v>
      </c>
      <c r="C7" s="97">
        <v>0.13</v>
      </c>
      <c r="D7" s="98">
        <v>0.57999999999999996</v>
      </c>
      <c r="E7" s="92"/>
      <c r="F7" s="94"/>
    </row>
    <row r="8" spans="1:6">
      <c r="A8" s="172"/>
      <c r="B8" s="102" t="s">
        <v>264</v>
      </c>
      <c r="C8" s="99">
        <f>1-C7</f>
        <v>0.87</v>
      </c>
      <c r="D8" s="100">
        <f>1-D7</f>
        <v>0.42000000000000004</v>
      </c>
      <c r="E8" s="93"/>
      <c r="F8" s="95"/>
    </row>
    <row r="9" spans="1:6">
      <c r="A9" s="171" t="s">
        <v>269</v>
      </c>
      <c r="B9" s="101" t="s">
        <v>225</v>
      </c>
      <c r="C9" s="97">
        <v>0.01</v>
      </c>
      <c r="D9" s="98">
        <v>0.75</v>
      </c>
      <c r="E9" s="93"/>
      <c r="F9" s="95"/>
    </row>
    <row r="10" spans="1:6">
      <c r="A10" s="172"/>
      <c r="B10" s="102" t="s">
        <v>264</v>
      </c>
      <c r="C10" s="99">
        <f>1-C9</f>
        <v>0.99</v>
      </c>
      <c r="D10" s="100">
        <f>1-D9</f>
        <v>0.25</v>
      </c>
      <c r="E10" s="93"/>
      <c r="F10" s="95"/>
    </row>
    <row r="11" spans="1:6">
      <c r="A11" s="171" t="s">
        <v>270</v>
      </c>
      <c r="B11" s="101" t="s">
        <v>225</v>
      </c>
      <c r="C11" s="97">
        <v>0.18</v>
      </c>
      <c r="D11" s="98">
        <v>0.69</v>
      </c>
      <c r="E11" s="93"/>
      <c r="F11" s="95"/>
    </row>
    <row r="12" spans="1:6">
      <c r="A12" s="172"/>
      <c r="B12" s="102" t="s">
        <v>264</v>
      </c>
      <c r="C12" s="99">
        <f>1-C11</f>
        <v>0.82000000000000006</v>
      </c>
      <c r="D12" s="100">
        <f>1-D11</f>
        <v>0.31000000000000005</v>
      </c>
      <c r="E12" s="93"/>
      <c r="F12" s="95"/>
    </row>
    <row r="13" spans="1:6">
      <c r="A13" s="171" t="s">
        <v>271</v>
      </c>
      <c r="B13" s="101" t="s">
        <v>225</v>
      </c>
      <c r="C13" s="97">
        <v>0.64</v>
      </c>
      <c r="D13" s="98">
        <v>1</v>
      </c>
      <c r="E13" s="93"/>
      <c r="F13" s="95"/>
    </row>
    <row r="14" spans="1:6">
      <c r="A14" s="172"/>
      <c r="B14" s="102" t="s">
        <v>264</v>
      </c>
      <c r="C14" s="99">
        <f>1-C13</f>
        <v>0.36</v>
      </c>
      <c r="D14" s="100">
        <f>1-D13</f>
        <v>0</v>
      </c>
      <c r="E14" s="93"/>
      <c r="F14" s="95"/>
    </row>
    <row r="15" spans="1:6">
      <c r="A15" s="171" t="s">
        <v>272</v>
      </c>
      <c r="B15" s="101" t="s">
        <v>225</v>
      </c>
      <c r="C15" s="87"/>
      <c r="D15" s="98">
        <v>0.69</v>
      </c>
      <c r="E15" s="93"/>
      <c r="F15" s="95"/>
    </row>
    <row r="16" spans="1:6">
      <c r="A16" s="172"/>
      <c r="B16" s="102" t="s">
        <v>264</v>
      </c>
      <c r="C16" s="88"/>
      <c r="D16" s="100">
        <f>1-D15</f>
        <v>0.31000000000000005</v>
      </c>
      <c r="E16" s="93"/>
      <c r="F16" s="95"/>
    </row>
    <row r="17" spans="1:6">
      <c r="A17" s="173" t="s">
        <v>273</v>
      </c>
      <c r="B17" s="103" t="s">
        <v>225</v>
      </c>
      <c r="C17" s="84"/>
      <c r="D17" s="84"/>
      <c r="E17" s="98">
        <v>0.91</v>
      </c>
      <c r="F17" s="96"/>
    </row>
    <row r="18" spans="1:6">
      <c r="A18" s="172"/>
      <c r="B18" s="102" t="s">
        <v>264</v>
      </c>
      <c r="C18" s="85"/>
      <c r="D18" s="85"/>
      <c r="E18" s="100">
        <f>1-E17</f>
        <v>8.9999999999999969E-2</v>
      </c>
      <c r="F18" s="96"/>
    </row>
    <row r="19" spans="1:6">
      <c r="A19" s="171" t="s">
        <v>274</v>
      </c>
      <c r="B19" s="101" t="s">
        <v>225</v>
      </c>
      <c r="C19" s="86"/>
      <c r="D19" s="86"/>
      <c r="E19" s="98">
        <v>0.78</v>
      </c>
      <c r="F19" s="96"/>
    </row>
    <row r="20" spans="1:6">
      <c r="A20" s="172"/>
      <c r="B20" s="102" t="s">
        <v>264</v>
      </c>
      <c r="C20" s="85"/>
      <c r="D20" s="85"/>
      <c r="E20" s="100">
        <f>1-E19</f>
        <v>0.21999999999999997</v>
      </c>
      <c r="F20" s="96"/>
    </row>
    <row r="21" spans="1:6">
      <c r="A21" s="173" t="s">
        <v>275</v>
      </c>
      <c r="B21" s="103" t="s">
        <v>225</v>
      </c>
      <c r="C21" s="84"/>
      <c r="D21" s="84"/>
      <c r="E21" s="84"/>
      <c r="F21" s="98">
        <v>0.7</v>
      </c>
    </row>
    <row r="22" spans="1:6">
      <c r="A22" s="172"/>
      <c r="B22" s="102" t="s">
        <v>264</v>
      </c>
      <c r="C22" s="85"/>
      <c r="D22" s="85"/>
      <c r="E22" s="85"/>
      <c r="F22" s="100">
        <f>1-F21</f>
        <v>0.30000000000000004</v>
      </c>
    </row>
  </sheetData>
  <mergeCells count="8">
    <mergeCell ref="A19:A20"/>
    <mergeCell ref="A21:A22"/>
    <mergeCell ref="A7:A8"/>
    <mergeCell ref="A9:A10"/>
    <mergeCell ref="A11:A12"/>
    <mergeCell ref="A13:A14"/>
    <mergeCell ref="A15:A16"/>
    <mergeCell ref="A17:A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224F-B9D5-4690-B2F0-768BEA87C139}">
  <dimension ref="A1:L169"/>
  <sheetViews>
    <sheetView workbookViewId="0"/>
  </sheetViews>
  <sheetFormatPr defaultRowHeight="15"/>
  <sheetData>
    <row r="1" spans="1:12" ht="15.75" thickBot="1">
      <c r="A1" t="s">
        <v>254</v>
      </c>
      <c r="B1" t="s">
        <v>245</v>
      </c>
      <c r="C1" t="s">
        <v>246</v>
      </c>
      <c r="D1" t="s">
        <v>247</v>
      </c>
      <c r="E1" t="s">
        <v>58</v>
      </c>
      <c r="F1" t="s">
        <v>255</v>
      </c>
      <c r="G1" t="s">
        <v>115</v>
      </c>
      <c r="H1" t="s">
        <v>248</v>
      </c>
    </row>
    <row r="2" spans="1:12">
      <c r="A2" s="72">
        <v>2020</v>
      </c>
      <c r="B2" s="73" t="s">
        <v>290</v>
      </c>
      <c r="C2" s="73" t="s">
        <v>249</v>
      </c>
      <c r="D2" s="73" t="s">
        <v>17</v>
      </c>
      <c r="E2" s="73">
        <f t="shared" ref="E2:E57" si="0">A2</f>
        <v>2020</v>
      </c>
      <c r="F2" s="73" t="s">
        <v>58</v>
      </c>
      <c r="G2">
        <v>0.5</v>
      </c>
      <c r="H2" s="74" t="s">
        <v>114</v>
      </c>
      <c r="L2">
        <v>1.1694</v>
      </c>
    </row>
    <row r="3" spans="1:12">
      <c r="A3" s="75">
        <f t="shared" ref="A3:A10" si="1">A2+5</f>
        <v>2025</v>
      </c>
      <c r="B3" t="str">
        <f>B2</f>
        <v>R12_CHN</v>
      </c>
      <c r="C3" t="s">
        <v>249</v>
      </c>
      <c r="D3" t="s">
        <v>17</v>
      </c>
      <c r="E3">
        <f t="shared" si="0"/>
        <v>2025</v>
      </c>
      <c r="F3" t="s">
        <v>58</v>
      </c>
      <c r="G3">
        <f>G2+1</f>
        <v>1.5</v>
      </c>
      <c r="H3" s="76" t="s">
        <v>114</v>
      </c>
      <c r="L3">
        <v>2.0562</v>
      </c>
    </row>
    <row r="4" spans="1:12">
      <c r="A4" s="75">
        <f t="shared" si="1"/>
        <v>2030</v>
      </c>
      <c r="B4" t="str">
        <f t="shared" ref="B4:B57" si="2">B3</f>
        <v>R12_CHN</v>
      </c>
      <c r="C4" t="s">
        <v>249</v>
      </c>
      <c r="D4" t="s">
        <v>17</v>
      </c>
      <c r="E4">
        <f t="shared" si="0"/>
        <v>2030</v>
      </c>
      <c r="F4" t="s">
        <v>58</v>
      </c>
      <c r="G4">
        <f t="shared" ref="G4:G15" si="3">G3+1</f>
        <v>2.5</v>
      </c>
      <c r="H4" s="76" t="s">
        <v>114</v>
      </c>
      <c r="L4">
        <v>2.7336</v>
      </c>
    </row>
    <row r="5" spans="1:12">
      <c r="A5" s="75">
        <f t="shared" si="1"/>
        <v>2035</v>
      </c>
      <c r="B5" t="str">
        <f t="shared" si="2"/>
        <v>R12_CHN</v>
      </c>
      <c r="C5" t="s">
        <v>249</v>
      </c>
      <c r="D5" t="s">
        <v>17</v>
      </c>
      <c r="E5">
        <f t="shared" si="0"/>
        <v>2035</v>
      </c>
      <c r="F5" t="s">
        <v>58</v>
      </c>
      <c r="G5">
        <f t="shared" si="3"/>
        <v>3.5</v>
      </c>
      <c r="H5" s="76" t="s">
        <v>114</v>
      </c>
      <c r="L5">
        <v>4.1824000000000003</v>
      </c>
    </row>
    <row r="6" spans="1:12">
      <c r="A6" s="75">
        <f t="shared" si="1"/>
        <v>2040</v>
      </c>
      <c r="B6" t="str">
        <f t="shared" si="2"/>
        <v>R12_CHN</v>
      </c>
      <c r="C6" t="s">
        <v>249</v>
      </c>
      <c r="D6" t="s">
        <v>17</v>
      </c>
      <c r="E6">
        <f t="shared" si="0"/>
        <v>2040</v>
      </c>
      <c r="F6" t="s">
        <v>58</v>
      </c>
      <c r="G6">
        <f t="shared" si="3"/>
        <v>4.5</v>
      </c>
      <c r="H6" s="76" t="s">
        <v>114</v>
      </c>
      <c r="L6">
        <v>5.6382000000000003</v>
      </c>
    </row>
    <row r="7" spans="1:12">
      <c r="A7" s="75">
        <f t="shared" si="1"/>
        <v>2045</v>
      </c>
      <c r="B7" t="str">
        <f t="shared" si="2"/>
        <v>R12_CHN</v>
      </c>
      <c r="C7" t="s">
        <v>249</v>
      </c>
      <c r="D7" t="s">
        <v>17</v>
      </c>
      <c r="E7">
        <f t="shared" si="0"/>
        <v>2045</v>
      </c>
      <c r="F7" t="s">
        <v>58</v>
      </c>
      <c r="G7">
        <f t="shared" si="3"/>
        <v>5.5</v>
      </c>
      <c r="H7" s="76" t="s">
        <v>114</v>
      </c>
      <c r="L7">
        <v>7.93</v>
      </c>
    </row>
    <row r="8" spans="1:12">
      <c r="A8" s="75">
        <f t="shared" si="1"/>
        <v>2050</v>
      </c>
      <c r="B8" t="str">
        <f t="shared" si="2"/>
        <v>R12_CHN</v>
      </c>
      <c r="C8" t="s">
        <v>249</v>
      </c>
      <c r="D8" t="s">
        <v>17</v>
      </c>
      <c r="E8">
        <f t="shared" si="0"/>
        <v>2050</v>
      </c>
      <c r="F8" t="s">
        <v>58</v>
      </c>
      <c r="G8">
        <f t="shared" si="3"/>
        <v>6.5</v>
      </c>
      <c r="H8" s="76" t="s">
        <v>114</v>
      </c>
      <c r="L8">
        <v>8.8697999999999997</v>
      </c>
    </row>
    <row r="9" spans="1:12">
      <c r="A9" s="75">
        <f t="shared" si="1"/>
        <v>2055</v>
      </c>
      <c r="B9" t="str">
        <f t="shared" si="2"/>
        <v>R12_CHN</v>
      </c>
      <c r="C9" t="s">
        <v>249</v>
      </c>
      <c r="D9" t="s">
        <v>17</v>
      </c>
      <c r="E9">
        <f t="shared" si="0"/>
        <v>2055</v>
      </c>
      <c r="F9" t="s">
        <v>58</v>
      </c>
      <c r="G9">
        <f t="shared" si="3"/>
        <v>7.5</v>
      </c>
      <c r="H9" s="76" t="s">
        <v>114</v>
      </c>
      <c r="L9">
        <v>9.3302999999999994</v>
      </c>
    </row>
    <row r="10" spans="1:12">
      <c r="A10" s="75">
        <f t="shared" si="1"/>
        <v>2060</v>
      </c>
      <c r="B10" t="str">
        <f t="shared" si="2"/>
        <v>R12_CHN</v>
      </c>
      <c r="C10" t="s">
        <v>249</v>
      </c>
      <c r="D10" t="s">
        <v>17</v>
      </c>
      <c r="E10">
        <f t="shared" si="0"/>
        <v>2060</v>
      </c>
      <c r="F10" t="s">
        <v>58</v>
      </c>
      <c r="G10">
        <f t="shared" si="3"/>
        <v>8.5</v>
      </c>
      <c r="H10" s="76" t="s">
        <v>114</v>
      </c>
      <c r="L10">
        <v>9.8019999999999996</v>
      </c>
    </row>
    <row r="11" spans="1:12">
      <c r="A11" s="75">
        <f>A10+10</f>
        <v>2070</v>
      </c>
      <c r="B11" t="str">
        <f t="shared" si="2"/>
        <v>R12_CHN</v>
      </c>
      <c r="C11" t="s">
        <v>249</v>
      </c>
      <c r="D11" t="s">
        <v>17</v>
      </c>
      <c r="E11">
        <f t="shared" si="0"/>
        <v>2070</v>
      </c>
      <c r="F11" t="s">
        <v>58</v>
      </c>
      <c r="G11">
        <f t="shared" si="3"/>
        <v>9.5</v>
      </c>
      <c r="H11" s="76" t="s">
        <v>114</v>
      </c>
      <c r="L11">
        <v>9.8019999999999996</v>
      </c>
    </row>
    <row r="12" spans="1:12">
      <c r="A12" s="75">
        <f>A11+10</f>
        <v>2080</v>
      </c>
      <c r="B12" t="str">
        <f t="shared" si="2"/>
        <v>R12_CHN</v>
      </c>
      <c r="C12" t="s">
        <v>249</v>
      </c>
      <c r="D12" t="s">
        <v>17</v>
      </c>
      <c r="E12">
        <f t="shared" si="0"/>
        <v>2080</v>
      </c>
      <c r="F12" t="s">
        <v>58</v>
      </c>
      <c r="G12">
        <f t="shared" si="3"/>
        <v>10.5</v>
      </c>
      <c r="H12" s="76" t="s">
        <v>114</v>
      </c>
      <c r="L12">
        <v>9.8019999999999996</v>
      </c>
    </row>
    <row r="13" spans="1:12">
      <c r="A13" s="75">
        <f>A12+10</f>
        <v>2090</v>
      </c>
      <c r="B13" t="str">
        <f t="shared" si="2"/>
        <v>R12_CHN</v>
      </c>
      <c r="C13" t="s">
        <v>249</v>
      </c>
      <c r="D13" t="s">
        <v>17</v>
      </c>
      <c r="E13">
        <f t="shared" si="0"/>
        <v>2090</v>
      </c>
      <c r="F13" t="s">
        <v>58</v>
      </c>
      <c r="G13">
        <f t="shared" si="3"/>
        <v>11.5</v>
      </c>
      <c r="H13" s="76" t="s">
        <v>114</v>
      </c>
      <c r="L13">
        <v>9.8019999999999996</v>
      </c>
    </row>
    <row r="14" spans="1:12">
      <c r="A14" s="75">
        <f>A13+10</f>
        <v>2100</v>
      </c>
      <c r="B14" t="str">
        <f t="shared" si="2"/>
        <v>R12_CHN</v>
      </c>
      <c r="C14" t="s">
        <v>249</v>
      </c>
      <c r="D14" t="s">
        <v>17</v>
      </c>
      <c r="E14">
        <f t="shared" si="0"/>
        <v>2100</v>
      </c>
      <c r="F14" t="s">
        <v>58</v>
      </c>
      <c r="G14">
        <f t="shared" si="3"/>
        <v>12.5</v>
      </c>
      <c r="H14" s="76" t="s">
        <v>114</v>
      </c>
      <c r="L14">
        <v>9.8019999999999996</v>
      </c>
    </row>
    <row r="15" spans="1:12">
      <c r="A15" s="75">
        <f>A14+10</f>
        <v>2110</v>
      </c>
      <c r="B15" t="str">
        <f t="shared" si="2"/>
        <v>R12_CHN</v>
      </c>
      <c r="C15" t="s">
        <v>249</v>
      </c>
      <c r="D15" t="s">
        <v>17</v>
      </c>
      <c r="E15">
        <f t="shared" si="0"/>
        <v>2110</v>
      </c>
      <c r="F15" t="s">
        <v>58</v>
      </c>
      <c r="G15">
        <f t="shared" si="3"/>
        <v>13.5</v>
      </c>
      <c r="H15" s="76" t="s">
        <v>114</v>
      </c>
      <c r="L15">
        <v>9.8019999999999996</v>
      </c>
    </row>
    <row r="16" spans="1:12">
      <c r="A16" s="75">
        <v>2020</v>
      </c>
      <c r="B16" t="str">
        <f t="shared" si="2"/>
        <v>R12_CHN</v>
      </c>
      <c r="C16" t="s">
        <v>250</v>
      </c>
      <c r="D16" t="s">
        <v>17</v>
      </c>
      <c r="E16">
        <f t="shared" si="0"/>
        <v>2020</v>
      </c>
      <c r="F16" t="s">
        <v>58</v>
      </c>
      <c r="G16">
        <v>0.3</v>
      </c>
      <c r="H16" s="76" t="s">
        <v>114</v>
      </c>
      <c r="L16">
        <v>0.71307068681620867</v>
      </c>
    </row>
    <row r="17" spans="1:12">
      <c r="A17" s="75">
        <f t="shared" ref="A17:A24" si="4">A16+5</f>
        <v>2025</v>
      </c>
      <c r="B17" t="str">
        <f t="shared" si="2"/>
        <v>R12_CHN</v>
      </c>
      <c r="C17" t="s">
        <v>250</v>
      </c>
      <c r="D17" t="s">
        <v>17</v>
      </c>
      <c r="E17">
        <f t="shared" si="0"/>
        <v>2025</v>
      </c>
      <c r="F17" t="s">
        <v>58</v>
      </c>
      <c r="G17">
        <f>G16+1</f>
        <v>1.3</v>
      </c>
      <c r="H17" s="76" t="s">
        <v>114</v>
      </c>
      <c r="L17">
        <v>1.9191479337251223</v>
      </c>
    </row>
    <row r="18" spans="1:12">
      <c r="A18" s="75">
        <f t="shared" si="4"/>
        <v>2030</v>
      </c>
      <c r="B18" t="str">
        <f t="shared" si="2"/>
        <v>R12_CHN</v>
      </c>
      <c r="C18" t="s">
        <v>250</v>
      </c>
      <c r="D18" t="s">
        <v>17</v>
      </c>
      <c r="E18">
        <f t="shared" si="0"/>
        <v>2030</v>
      </c>
      <c r="F18" t="s">
        <v>58</v>
      </c>
      <c r="G18">
        <f t="shared" ref="G18:G29" si="5">G17+1</f>
        <v>2.2999999999999998</v>
      </c>
      <c r="H18" s="76" t="s">
        <v>114</v>
      </c>
      <c r="L18">
        <v>3.5536339427554968</v>
      </c>
    </row>
    <row r="19" spans="1:12">
      <c r="A19" s="75">
        <f t="shared" si="4"/>
        <v>2035</v>
      </c>
      <c r="B19" t="str">
        <f t="shared" si="2"/>
        <v>R12_CHN</v>
      </c>
      <c r="C19" t="s">
        <v>250</v>
      </c>
      <c r="D19" t="s">
        <v>17</v>
      </c>
      <c r="E19">
        <f t="shared" si="0"/>
        <v>2035</v>
      </c>
      <c r="F19" t="s">
        <v>58</v>
      </c>
      <c r="G19">
        <f t="shared" si="5"/>
        <v>3.3</v>
      </c>
      <c r="H19" s="76" t="s">
        <v>114</v>
      </c>
      <c r="L19">
        <v>4.9204383366391777</v>
      </c>
    </row>
    <row r="20" spans="1:12">
      <c r="A20" s="75">
        <f t="shared" si="4"/>
        <v>2040</v>
      </c>
      <c r="B20" t="str">
        <f t="shared" si="2"/>
        <v>R12_CHN</v>
      </c>
      <c r="C20" t="s">
        <v>250</v>
      </c>
      <c r="D20" t="s">
        <v>17</v>
      </c>
      <c r="E20">
        <f t="shared" si="0"/>
        <v>2040</v>
      </c>
      <c r="F20" t="s">
        <v>58</v>
      </c>
      <c r="G20">
        <f t="shared" si="5"/>
        <v>4.3</v>
      </c>
      <c r="H20" s="76" t="s">
        <v>114</v>
      </c>
      <c r="L20">
        <v>5.6382137810895188</v>
      </c>
    </row>
    <row r="21" spans="1:12">
      <c r="A21" s="75">
        <f t="shared" si="4"/>
        <v>2045</v>
      </c>
      <c r="B21" t="str">
        <f t="shared" si="2"/>
        <v>R12_CHN</v>
      </c>
      <c r="C21" t="s">
        <v>250</v>
      </c>
      <c r="D21" t="s">
        <v>17</v>
      </c>
      <c r="E21">
        <f t="shared" si="0"/>
        <v>2045</v>
      </c>
      <c r="F21" t="s">
        <v>58</v>
      </c>
      <c r="G21">
        <f t="shared" si="5"/>
        <v>5.3</v>
      </c>
      <c r="H21" s="76" t="s">
        <v>114</v>
      </c>
      <c r="L21">
        <v>7.9299823532878193</v>
      </c>
    </row>
    <row r="22" spans="1:12">
      <c r="A22" s="75">
        <f t="shared" si="4"/>
        <v>2050</v>
      </c>
      <c r="B22" t="str">
        <f t="shared" si="2"/>
        <v>R12_CHN</v>
      </c>
      <c r="C22" t="s">
        <v>250</v>
      </c>
      <c r="D22" t="s">
        <v>17</v>
      </c>
      <c r="E22">
        <f t="shared" si="0"/>
        <v>2050</v>
      </c>
      <c r="F22" t="s">
        <v>58</v>
      </c>
      <c r="G22">
        <f t="shared" si="5"/>
        <v>6.3</v>
      </c>
      <c r="H22" s="76" t="s">
        <v>114</v>
      </c>
      <c r="L22">
        <v>8.8697686987664355</v>
      </c>
    </row>
    <row r="23" spans="1:12">
      <c r="A23" s="75">
        <f t="shared" si="4"/>
        <v>2055</v>
      </c>
      <c r="B23" t="str">
        <f t="shared" si="2"/>
        <v>R12_CHN</v>
      </c>
      <c r="C23" t="s">
        <v>250</v>
      </c>
      <c r="D23" t="s">
        <v>17</v>
      </c>
      <c r="E23">
        <f t="shared" si="0"/>
        <v>2055</v>
      </c>
      <c r="F23" t="s">
        <v>58</v>
      </c>
      <c r="G23">
        <f t="shared" si="5"/>
        <v>7.3</v>
      </c>
      <c r="H23" s="76" t="s">
        <v>114</v>
      </c>
      <c r="L23">
        <v>9.3302744244813969</v>
      </c>
    </row>
    <row r="24" spans="1:12">
      <c r="A24" s="75">
        <f t="shared" si="4"/>
        <v>2060</v>
      </c>
      <c r="B24" t="str">
        <f t="shared" si="2"/>
        <v>R12_CHN</v>
      </c>
      <c r="C24" t="s">
        <v>250</v>
      </c>
      <c r="D24" t="s">
        <v>17</v>
      </c>
      <c r="E24">
        <f t="shared" si="0"/>
        <v>2060</v>
      </c>
      <c r="F24" t="s">
        <v>58</v>
      </c>
      <c r="G24">
        <f t="shared" si="5"/>
        <v>8.3000000000000007</v>
      </c>
      <c r="H24" s="76" t="s">
        <v>114</v>
      </c>
      <c r="L24">
        <v>9.8019697923151483</v>
      </c>
    </row>
    <row r="25" spans="1:12">
      <c r="A25" s="75">
        <f>A24+10</f>
        <v>2070</v>
      </c>
      <c r="B25" t="str">
        <f t="shared" si="2"/>
        <v>R12_CHN</v>
      </c>
      <c r="C25" t="s">
        <v>250</v>
      </c>
      <c r="D25" t="s">
        <v>17</v>
      </c>
      <c r="E25">
        <f t="shared" si="0"/>
        <v>2070</v>
      </c>
      <c r="F25" t="s">
        <v>58</v>
      </c>
      <c r="G25">
        <f t="shared" si="5"/>
        <v>9.3000000000000007</v>
      </c>
      <c r="H25" s="76" t="s">
        <v>114</v>
      </c>
      <c r="L25">
        <v>9.8019697923151483</v>
      </c>
    </row>
    <row r="26" spans="1:12">
      <c r="A26" s="75">
        <f>A25+10</f>
        <v>2080</v>
      </c>
      <c r="B26" t="str">
        <f t="shared" si="2"/>
        <v>R12_CHN</v>
      </c>
      <c r="C26" t="s">
        <v>250</v>
      </c>
      <c r="D26" t="s">
        <v>17</v>
      </c>
      <c r="E26">
        <f t="shared" si="0"/>
        <v>2080</v>
      </c>
      <c r="F26" t="s">
        <v>58</v>
      </c>
      <c r="G26">
        <f t="shared" si="5"/>
        <v>10.3</v>
      </c>
      <c r="H26" s="76" t="s">
        <v>114</v>
      </c>
      <c r="L26">
        <v>9.8019697923151483</v>
      </c>
    </row>
    <row r="27" spans="1:12">
      <c r="A27" s="75">
        <f>A26+10</f>
        <v>2090</v>
      </c>
      <c r="B27" t="str">
        <f t="shared" si="2"/>
        <v>R12_CHN</v>
      </c>
      <c r="C27" t="s">
        <v>250</v>
      </c>
      <c r="D27" t="s">
        <v>17</v>
      </c>
      <c r="E27">
        <f t="shared" si="0"/>
        <v>2090</v>
      </c>
      <c r="F27" t="s">
        <v>58</v>
      </c>
      <c r="G27">
        <f t="shared" si="5"/>
        <v>11.3</v>
      </c>
      <c r="H27" s="76" t="s">
        <v>114</v>
      </c>
      <c r="L27">
        <v>9.8019697923151483</v>
      </c>
    </row>
    <row r="28" spans="1:12">
      <c r="A28" s="75">
        <f>A27+10</f>
        <v>2100</v>
      </c>
      <c r="B28" t="str">
        <f t="shared" si="2"/>
        <v>R12_CHN</v>
      </c>
      <c r="C28" t="s">
        <v>250</v>
      </c>
      <c r="D28" t="s">
        <v>17</v>
      </c>
      <c r="E28">
        <f t="shared" si="0"/>
        <v>2100</v>
      </c>
      <c r="F28" t="s">
        <v>58</v>
      </c>
      <c r="G28">
        <f t="shared" si="5"/>
        <v>12.3</v>
      </c>
      <c r="H28" s="76" t="s">
        <v>114</v>
      </c>
      <c r="L28">
        <v>9.8019697923151483</v>
      </c>
    </row>
    <row r="29" spans="1:12">
      <c r="A29" s="75">
        <f>A28+10</f>
        <v>2110</v>
      </c>
      <c r="B29" t="str">
        <f t="shared" si="2"/>
        <v>R12_CHN</v>
      </c>
      <c r="C29" t="s">
        <v>250</v>
      </c>
      <c r="D29" t="s">
        <v>17</v>
      </c>
      <c r="E29">
        <f t="shared" si="0"/>
        <v>2110</v>
      </c>
      <c r="F29" t="s">
        <v>58</v>
      </c>
      <c r="G29">
        <f t="shared" si="5"/>
        <v>13.3</v>
      </c>
      <c r="H29" s="76" t="s">
        <v>114</v>
      </c>
      <c r="L29">
        <v>9.8019697923151483</v>
      </c>
    </row>
    <row r="30" spans="1:12">
      <c r="A30" s="75">
        <v>2020</v>
      </c>
      <c r="B30" t="str">
        <f t="shared" si="2"/>
        <v>R12_CHN</v>
      </c>
      <c r="C30" t="s">
        <v>251</v>
      </c>
      <c r="D30" t="s">
        <v>17</v>
      </c>
      <c r="E30">
        <f t="shared" si="0"/>
        <v>2020</v>
      </c>
      <c r="F30" t="s">
        <v>58</v>
      </c>
      <c r="G30">
        <v>0.1</v>
      </c>
      <c r="H30" s="76" t="s">
        <v>114</v>
      </c>
      <c r="L30">
        <v>0.4753804578774723</v>
      </c>
    </row>
    <row r="31" spans="1:12">
      <c r="A31" s="75">
        <f t="shared" ref="A31:A38" si="6">A30+5</f>
        <v>2025</v>
      </c>
      <c r="B31" t="str">
        <f t="shared" si="2"/>
        <v>R12_CHN</v>
      </c>
      <c r="C31" t="s">
        <v>251</v>
      </c>
      <c r="D31" t="s">
        <v>17</v>
      </c>
      <c r="E31">
        <f t="shared" si="0"/>
        <v>2025</v>
      </c>
      <c r="F31" t="s">
        <v>58</v>
      </c>
      <c r="G31">
        <f>G30+1</f>
        <v>1.1000000000000001</v>
      </c>
      <c r="H31" s="76" t="s">
        <v>114</v>
      </c>
      <c r="L31">
        <v>2.5360169124224834</v>
      </c>
    </row>
    <row r="32" spans="1:12">
      <c r="A32" s="75">
        <f t="shared" si="6"/>
        <v>2030</v>
      </c>
      <c r="B32" t="str">
        <f t="shared" si="2"/>
        <v>R12_CHN</v>
      </c>
      <c r="C32" t="s">
        <v>251</v>
      </c>
      <c r="D32" t="s">
        <v>17</v>
      </c>
      <c r="E32">
        <f t="shared" si="0"/>
        <v>2030</v>
      </c>
      <c r="F32" t="s">
        <v>58</v>
      </c>
      <c r="G32">
        <f t="shared" ref="G32:G43" si="7">G31+1</f>
        <v>2.1</v>
      </c>
      <c r="H32" s="76" t="s">
        <v>114</v>
      </c>
      <c r="L32">
        <v>7.3806243426460334</v>
      </c>
    </row>
    <row r="33" spans="1:12">
      <c r="A33" s="75">
        <f t="shared" si="6"/>
        <v>2035</v>
      </c>
      <c r="B33" t="str">
        <f t="shared" si="2"/>
        <v>R12_CHN</v>
      </c>
      <c r="C33" t="s">
        <v>251</v>
      </c>
      <c r="D33" t="s">
        <v>17</v>
      </c>
      <c r="E33">
        <f t="shared" si="0"/>
        <v>2035</v>
      </c>
      <c r="F33" t="s">
        <v>58</v>
      </c>
      <c r="G33">
        <f t="shared" si="7"/>
        <v>3.1</v>
      </c>
      <c r="H33" s="76" t="s">
        <v>114</v>
      </c>
      <c r="L33">
        <v>17.713578011901042</v>
      </c>
    </row>
    <row r="34" spans="1:12">
      <c r="A34" s="75">
        <f t="shared" si="6"/>
        <v>2040</v>
      </c>
      <c r="B34" t="str">
        <f t="shared" si="2"/>
        <v>R12_CHN</v>
      </c>
      <c r="C34" t="s">
        <v>251</v>
      </c>
      <c r="D34" t="s">
        <v>17</v>
      </c>
      <c r="E34">
        <f t="shared" si="0"/>
        <v>2040</v>
      </c>
      <c r="F34" t="s">
        <v>58</v>
      </c>
      <c r="G34">
        <f t="shared" si="7"/>
        <v>4.0999999999999996</v>
      </c>
      <c r="H34" s="76" t="s">
        <v>114</v>
      </c>
      <c r="L34">
        <v>36.245660021289758</v>
      </c>
    </row>
    <row r="35" spans="1:12">
      <c r="A35" s="75">
        <f t="shared" si="6"/>
        <v>2045</v>
      </c>
      <c r="B35" t="str">
        <f t="shared" si="2"/>
        <v>R12_CHN</v>
      </c>
      <c r="C35" t="s">
        <v>251</v>
      </c>
      <c r="D35" t="s">
        <v>17</v>
      </c>
      <c r="E35">
        <f t="shared" si="0"/>
        <v>2045</v>
      </c>
      <c r="F35" t="s">
        <v>58</v>
      </c>
      <c r="G35">
        <f t="shared" si="7"/>
        <v>5.0999999999999996</v>
      </c>
      <c r="H35" s="76" t="s">
        <v>114</v>
      </c>
      <c r="L35">
        <v>42.482048321184728</v>
      </c>
    </row>
    <row r="36" spans="1:12">
      <c r="A36" s="75">
        <f t="shared" si="6"/>
        <v>2050</v>
      </c>
      <c r="B36" t="str">
        <f t="shared" si="2"/>
        <v>R12_CHN</v>
      </c>
      <c r="C36" t="s">
        <v>251</v>
      </c>
      <c r="D36" t="s">
        <v>17</v>
      </c>
      <c r="E36">
        <f t="shared" si="0"/>
        <v>2050</v>
      </c>
      <c r="F36" t="s">
        <v>58</v>
      </c>
      <c r="G36">
        <f t="shared" si="7"/>
        <v>6.1</v>
      </c>
      <c r="H36" s="76" t="s">
        <v>114</v>
      </c>
      <c r="L36">
        <v>38.013294423284727</v>
      </c>
    </row>
    <row r="37" spans="1:12">
      <c r="A37" s="75">
        <f t="shared" si="6"/>
        <v>2055</v>
      </c>
      <c r="B37" t="str">
        <f t="shared" si="2"/>
        <v>R12_CHN</v>
      </c>
      <c r="C37" t="s">
        <v>251</v>
      </c>
      <c r="D37" t="s">
        <v>17</v>
      </c>
      <c r="E37">
        <f t="shared" si="0"/>
        <v>2055</v>
      </c>
      <c r="F37" t="s">
        <v>58</v>
      </c>
      <c r="G37">
        <f t="shared" si="7"/>
        <v>7.1</v>
      </c>
      <c r="H37" s="76" t="s">
        <v>114</v>
      </c>
      <c r="L37">
        <v>39.986890390634557</v>
      </c>
    </row>
    <row r="38" spans="1:12">
      <c r="A38" s="75">
        <f t="shared" si="6"/>
        <v>2060</v>
      </c>
      <c r="B38" t="str">
        <f t="shared" si="2"/>
        <v>R12_CHN</v>
      </c>
      <c r="C38" t="s">
        <v>251</v>
      </c>
      <c r="D38" t="s">
        <v>17</v>
      </c>
      <c r="E38">
        <f t="shared" si="0"/>
        <v>2060</v>
      </c>
      <c r="F38" t="s">
        <v>58</v>
      </c>
      <c r="G38">
        <f t="shared" si="7"/>
        <v>8.1</v>
      </c>
      <c r="H38" s="76" t="s">
        <v>114</v>
      </c>
      <c r="L38">
        <v>42.008441967064911</v>
      </c>
    </row>
    <row r="39" spans="1:12">
      <c r="A39" s="75">
        <f>A38+10</f>
        <v>2070</v>
      </c>
      <c r="B39" t="str">
        <f t="shared" si="2"/>
        <v>R12_CHN</v>
      </c>
      <c r="C39" t="s">
        <v>251</v>
      </c>
      <c r="D39" t="s">
        <v>17</v>
      </c>
      <c r="E39">
        <f t="shared" si="0"/>
        <v>2070</v>
      </c>
      <c r="F39" t="s">
        <v>58</v>
      </c>
      <c r="G39">
        <f t="shared" si="7"/>
        <v>9.1</v>
      </c>
      <c r="H39" s="76" t="s">
        <v>114</v>
      </c>
      <c r="L39">
        <v>42.008441967064911</v>
      </c>
    </row>
    <row r="40" spans="1:12">
      <c r="A40" s="75">
        <f>A39+10</f>
        <v>2080</v>
      </c>
      <c r="B40" t="str">
        <f t="shared" si="2"/>
        <v>R12_CHN</v>
      </c>
      <c r="C40" t="s">
        <v>251</v>
      </c>
      <c r="D40" t="s">
        <v>17</v>
      </c>
      <c r="E40">
        <f t="shared" si="0"/>
        <v>2080</v>
      </c>
      <c r="F40" t="s">
        <v>58</v>
      </c>
      <c r="G40">
        <f t="shared" si="7"/>
        <v>10.1</v>
      </c>
      <c r="H40" s="76" t="s">
        <v>114</v>
      </c>
      <c r="L40">
        <v>42.008441967064911</v>
      </c>
    </row>
    <row r="41" spans="1:12">
      <c r="A41" s="75">
        <f>A40+10</f>
        <v>2090</v>
      </c>
      <c r="B41" t="str">
        <f t="shared" si="2"/>
        <v>R12_CHN</v>
      </c>
      <c r="C41" t="s">
        <v>251</v>
      </c>
      <c r="D41" t="s">
        <v>17</v>
      </c>
      <c r="E41">
        <f t="shared" si="0"/>
        <v>2090</v>
      </c>
      <c r="F41" t="s">
        <v>58</v>
      </c>
      <c r="G41">
        <f t="shared" si="7"/>
        <v>11.1</v>
      </c>
      <c r="H41" s="76" t="s">
        <v>114</v>
      </c>
      <c r="L41">
        <v>42.008441967064911</v>
      </c>
    </row>
    <row r="42" spans="1:12">
      <c r="A42" s="75">
        <f>A41+10</f>
        <v>2100</v>
      </c>
      <c r="B42" t="str">
        <f t="shared" si="2"/>
        <v>R12_CHN</v>
      </c>
      <c r="C42" t="s">
        <v>251</v>
      </c>
      <c r="D42" t="s">
        <v>17</v>
      </c>
      <c r="E42">
        <f t="shared" si="0"/>
        <v>2100</v>
      </c>
      <c r="F42" t="s">
        <v>58</v>
      </c>
      <c r="G42">
        <f t="shared" si="7"/>
        <v>12.1</v>
      </c>
      <c r="H42" s="76" t="s">
        <v>114</v>
      </c>
      <c r="L42">
        <v>42.008441967064911</v>
      </c>
    </row>
    <row r="43" spans="1:12">
      <c r="A43" s="75">
        <f>A42+10</f>
        <v>2110</v>
      </c>
      <c r="B43" t="str">
        <f t="shared" si="2"/>
        <v>R12_CHN</v>
      </c>
      <c r="C43" t="s">
        <v>251</v>
      </c>
      <c r="D43" t="s">
        <v>17</v>
      </c>
      <c r="E43">
        <f t="shared" si="0"/>
        <v>2110</v>
      </c>
      <c r="F43" t="s">
        <v>58</v>
      </c>
      <c r="G43">
        <f t="shared" si="7"/>
        <v>13.1</v>
      </c>
      <c r="H43" s="76" t="s">
        <v>114</v>
      </c>
      <c r="L43">
        <v>42.008441967064911</v>
      </c>
    </row>
    <row r="44" spans="1:12">
      <c r="A44" s="75">
        <v>2020</v>
      </c>
      <c r="B44" t="str">
        <f t="shared" si="2"/>
        <v>R12_CHN</v>
      </c>
      <c r="C44" t="s">
        <v>252</v>
      </c>
      <c r="D44" t="s">
        <v>17</v>
      </c>
      <c r="E44">
        <f t="shared" si="0"/>
        <v>2020</v>
      </c>
      <c r="F44" t="s">
        <v>58</v>
      </c>
      <c r="G44">
        <v>0.2</v>
      </c>
      <c r="H44" s="76" t="s">
        <v>114</v>
      </c>
      <c r="L44">
        <v>1.0933750531181863</v>
      </c>
    </row>
    <row r="45" spans="1:12">
      <c r="A45" s="75">
        <f t="shared" ref="A45:A52" si="8">A44+5</f>
        <v>2025</v>
      </c>
      <c r="B45" t="str">
        <f t="shared" si="2"/>
        <v>R12_CHN</v>
      </c>
      <c r="C45" t="s">
        <v>252</v>
      </c>
      <c r="D45" t="s">
        <v>17</v>
      </c>
      <c r="E45">
        <f t="shared" si="0"/>
        <v>2025</v>
      </c>
      <c r="F45" t="s">
        <v>58</v>
      </c>
      <c r="G45">
        <f>G44+1</f>
        <v>1.2</v>
      </c>
      <c r="H45" s="76" t="s">
        <v>114</v>
      </c>
      <c r="L45">
        <v>3.4270498816520045</v>
      </c>
    </row>
    <row r="46" spans="1:12">
      <c r="A46" s="75">
        <f t="shared" si="8"/>
        <v>2030</v>
      </c>
      <c r="B46" t="str">
        <f t="shared" si="2"/>
        <v>R12_CHN</v>
      </c>
      <c r="C46" t="s">
        <v>252</v>
      </c>
      <c r="D46" t="s">
        <v>17</v>
      </c>
      <c r="E46">
        <f t="shared" si="0"/>
        <v>2030</v>
      </c>
      <c r="F46" t="s">
        <v>58</v>
      </c>
      <c r="G46">
        <f t="shared" ref="G46:G57" si="9">G45+1</f>
        <v>2.2000000000000002</v>
      </c>
      <c r="H46" s="76" t="s">
        <v>114</v>
      </c>
      <c r="L46">
        <v>7.3806243426460334</v>
      </c>
    </row>
    <row r="47" spans="1:12">
      <c r="A47" s="75">
        <f t="shared" si="8"/>
        <v>2035</v>
      </c>
      <c r="B47" t="str">
        <f t="shared" si="2"/>
        <v>R12_CHN</v>
      </c>
      <c r="C47" t="s">
        <v>252</v>
      </c>
      <c r="D47" t="s">
        <v>17</v>
      </c>
      <c r="E47">
        <f t="shared" si="0"/>
        <v>2035</v>
      </c>
      <c r="F47" t="s">
        <v>58</v>
      </c>
      <c r="G47">
        <f t="shared" si="9"/>
        <v>3.2</v>
      </c>
      <c r="H47" s="76" t="s">
        <v>114</v>
      </c>
      <c r="L47">
        <v>10.578942423774233</v>
      </c>
    </row>
    <row r="48" spans="1:12">
      <c r="A48" s="75">
        <f t="shared" si="8"/>
        <v>2040</v>
      </c>
      <c r="B48" t="str">
        <f t="shared" si="2"/>
        <v>R12_CHN</v>
      </c>
      <c r="C48" t="s">
        <v>252</v>
      </c>
      <c r="D48" t="s">
        <v>17</v>
      </c>
      <c r="E48">
        <f t="shared" si="0"/>
        <v>2040</v>
      </c>
      <c r="F48" t="s">
        <v>58</v>
      </c>
      <c r="G48">
        <f t="shared" si="9"/>
        <v>4.2</v>
      </c>
      <c r="H48" s="76" t="s">
        <v>114</v>
      </c>
      <c r="L48">
        <v>12.887345785347472</v>
      </c>
    </row>
    <row r="49" spans="1:12">
      <c r="A49" s="75">
        <f t="shared" si="8"/>
        <v>2045</v>
      </c>
      <c r="B49" t="str">
        <f t="shared" si="2"/>
        <v>R12_CHN</v>
      </c>
      <c r="C49" t="s">
        <v>252</v>
      </c>
      <c r="D49" t="s">
        <v>17</v>
      </c>
      <c r="E49">
        <f t="shared" si="0"/>
        <v>2045</v>
      </c>
      <c r="F49" t="s">
        <v>58</v>
      </c>
      <c r="G49">
        <f t="shared" si="9"/>
        <v>5.2</v>
      </c>
      <c r="H49" s="76" t="s">
        <v>114</v>
      </c>
      <c r="L49">
        <v>18.125673950372153</v>
      </c>
    </row>
    <row r="50" spans="1:12">
      <c r="A50" s="75">
        <f t="shared" si="8"/>
        <v>2050</v>
      </c>
      <c r="B50" t="str">
        <f t="shared" si="2"/>
        <v>R12_CHN</v>
      </c>
      <c r="C50" t="s">
        <v>252</v>
      </c>
      <c r="D50" t="s">
        <v>17</v>
      </c>
      <c r="E50">
        <f t="shared" si="0"/>
        <v>2050</v>
      </c>
      <c r="F50" t="s">
        <v>58</v>
      </c>
      <c r="G50">
        <f t="shared" si="9"/>
        <v>6.2</v>
      </c>
      <c r="H50" s="76" t="s">
        <v>114</v>
      </c>
      <c r="L50">
        <v>20.273757025751856</v>
      </c>
    </row>
    <row r="51" spans="1:12">
      <c r="A51" s="75">
        <f t="shared" si="8"/>
        <v>2055</v>
      </c>
      <c r="B51" t="str">
        <f t="shared" si="2"/>
        <v>R12_CHN</v>
      </c>
      <c r="C51" t="s">
        <v>252</v>
      </c>
      <c r="D51" t="s">
        <v>17</v>
      </c>
      <c r="E51">
        <f t="shared" si="0"/>
        <v>2055</v>
      </c>
      <c r="F51" t="s">
        <v>58</v>
      </c>
      <c r="G51">
        <f t="shared" si="9"/>
        <v>7.2</v>
      </c>
      <c r="H51" s="76" t="s">
        <v>114</v>
      </c>
      <c r="L51">
        <v>21.326341541671763</v>
      </c>
    </row>
    <row r="52" spans="1:12">
      <c r="A52" s="75">
        <f t="shared" si="8"/>
        <v>2060</v>
      </c>
      <c r="B52" t="str">
        <f t="shared" si="2"/>
        <v>R12_CHN</v>
      </c>
      <c r="C52" t="s">
        <v>252</v>
      </c>
      <c r="D52" t="s">
        <v>17</v>
      </c>
      <c r="E52">
        <f t="shared" si="0"/>
        <v>2060</v>
      </c>
      <c r="F52" t="s">
        <v>58</v>
      </c>
      <c r="G52">
        <f t="shared" si="9"/>
        <v>8.1999999999999993</v>
      </c>
      <c r="H52" s="76" t="s">
        <v>114</v>
      </c>
      <c r="L52">
        <v>22.404502382434622</v>
      </c>
    </row>
    <row r="53" spans="1:12">
      <c r="A53" s="75">
        <f>A52+10</f>
        <v>2070</v>
      </c>
      <c r="B53" t="str">
        <f t="shared" si="2"/>
        <v>R12_CHN</v>
      </c>
      <c r="C53" t="s">
        <v>252</v>
      </c>
      <c r="D53" t="s">
        <v>17</v>
      </c>
      <c r="E53">
        <f t="shared" si="0"/>
        <v>2070</v>
      </c>
      <c r="F53" t="s">
        <v>58</v>
      </c>
      <c r="G53">
        <f t="shared" si="9"/>
        <v>9.1999999999999993</v>
      </c>
      <c r="H53" s="76" t="s">
        <v>114</v>
      </c>
      <c r="L53">
        <v>22.404502382434622</v>
      </c>
    </row>
    <row r="54" spans="1:12">
      <c r="A54" s="75">
        <f>A53+10</f>
        <v>2080</v>
      </c>
      <c r="B54" t="str">
        <f t="shared" si="2"/>
        <v>R12_CHN</v>
      </c>
      <c r="C54" t="s">
        <v>252</v>
      </c>
      <c r="D54" t="s">
        <v>17</v>
      </c>
      <c r="E54">
        <f t="shared" si="0"/>
        <v>2080</v>
      </c>
      <c r="F54" t="s">
        <v>58</v>
      </c>
      <c r="G54">
        <f t="shared" si="9"/>
        <v>10.199999999999999</v>
      </c>
      <c r="H54" s="76" t="s">
        <v>114</v>
      </c>
      <c r="L54">
        <v>22.404502382434622</v>
      </c>
    </row>
    <row r="55" spans="1:12">
      <c r="A55" s="75">
        <f>A54+10</f>
        <v>2090</v>
      </c>
      <c r="B55" t="str">
        <f t="shared" si="2"/>
        <v>R12_CHN</v>
      </c>
      <c r="C55" t="s">
        <v>252</v>
      </c>
      <c r="D55" t="s">
        <v>17</v>
      </c>
      <c r="E55">
        <f t="shared" si="0"/>
        <v>2090</v>
      </c>
      <c r="F55" t="s">
        <v>58</v>
      </c>
      <c r="G55">
        <f t="shared" si="9"/>
        <v>11.2</v>
      </c>
      <c r="H55" s="76" t="s">
        <v>114</v>
      </c>
      <c r="L55">
        <v>22.404502382434622</v>
      </c>
    </row>
    <row r="56" spans="1:12">
      <c r="A56" s="75">
        <f>A55+10</f>
        <v>2100</v>
      </c>
      <c r="B56" t="str">
        <f t="shared" si="2"/>
        <v>R12_CHN</v>
      </c>
      <c r="C56" t="s">
        <v>252</v>
      </c>
      <c r="D56" t="s">
        <v>17</v>
      </c>
      <c r="E56">
        <f t="shared" si="0"/>
        <v>2100</v>
      </c>
      <c r="F56" t="s">
        <v>58</v>
      </c>
      <c r="G56">
        <f t="shared" si="9"/>
        <v>12.2</v>
      </c>
      <c r="H56" s="76" t="s">
        <v>114</v>
      </c>
      <c r="L56">
        <v>22.404502382434622</v>
      </c>
    </row>
    <row r="57" spans="1:12" ht="15.75" thickBot="1">
      <c r="A57" s="77">
        <f>A56+10</f>
        <v>2110</v>
      </c>
      <c r="B57" s="78" t="str">
        <f t="shared" si="2"/>
        <v>R12_CHN</v>
      </c>
      <c r="C57" s="78" t="s">
        <v>252</v>
      </c>
      <c r="D57" s="78" t="s">
        <v>17</v>
      </c>
      <c r="E57" s="78">
        <f t="shared" si="0"/>
        <v>2110</v>
      </c>
      <c r="F57" s="78" t="s">
        <v>58</v>
      </c>
      <c r="G57">
        <f t="shared" si="9"/>
        <v>13.2</v>
      </c>
      <c r="H57" s="79" t="s">
        <v>114</v>
      </c>
      <c r="L57">
        <v>22.404502382434622</v>
      </c>
    </row>
    <row r="58" spans="1:12">
      <c r="A58">
        <v>2020</v>
      </c>
      <c r="B58" t="s">
        <v>447</v>
      </c>
      <c r="C58" t="s">
        <v>249</v>
      </c>
      <c r="D58" t="s">
        <v>17</v>
      </c>
      <c r="E58">
        <f t="shared" ref="E58:E121" si="10">A58</f>
        <v>2020</v>
      </c>
      <c r="F58" t="s">
        <v>58</v>
      </c>
      <c r="G58">
        <v>0.5</v>
      </c>
      <c r="H58" t="s">
        <v>114</v>
      </c>
      <c r="L58">
        <v>1.1694</v>
      </c>
    </row>
    <row r="59" spans="1:12">
      <c r="A59">
        <f t="shared" ref="A59:A66" si="11">A58+5</f>
        <v>2025</v>
      </c>
      <c r="B59" t="str">
        <f>B58</f>
        <v>R12_WEU</v>
      </c>
      <c r="C59" t="s">
        <v>249</v>
      </c>
      <c r="D59" t="s">
        <v>17</v>
      </c>
      <c r="E59">
        <f t="shared" si="10"/>
        <v>2025</v>
      </c>
      <c r="F59" t="s">
        <v>58</v>
      </c>
      <c r="G59">
        <f>G58+1</f>
        <v>1.5</v>
      </c>
      <c r="H59" t="s">
        <v>114</v>
      </c>
      <c r="L59">
        <v>2.0562</v>
      </c>
    </row>
    <row r="60" spans="1:12">
      <c r="A60">
        <f t="shared" si="11"/>
        <v>2030</v>
      </c>
      <c r="B60" t="str">
        <f t="shared" ref="B60:B113" si="12">B59</f>
        <v>R12_WEU</v>
      </c>
      <c r="C60" t="s">
        <v>249</v>
      </c>
      <c r="D60" t="s">
        <v>17</v>
      </c>
      <c r="E60">
        <f t="shared" si="10"/>
        <v>2030</v>
      </c>
      <c r="F60" t="s">
        <v>58</v>
      </c>
      <c r="G60">
        <f t="shared" ref="G60:G71" si="13">G59+1</f>
        <v>2.5</v>
      </c>
      <c r="H60" t="s">
        <v>114</v>
      </c>
      <c r="L60">
        <v>2.7336</v>
      </c>
    </row>
    <row r="61" spans="1:12">
      <c r="A61">
        <f t="shared" si="11"/>
        <v>2035</v>
      </c>
      <c r="B61" t="str">
        <f t="shared" si="12"/>
        <v>R12_WEU</v>
      </c>
      <c r="C61" t="s">
        <v>249</v>
      </c>
      <c r="D61" t="s">
        <v>17</v>
      </c>
      <c r="E61">
        <f t="shared" si="10"/>
        <v>2035</v>
      </c>
      <c r="F61" t="s">
        <v>58</v>
      </c>
      <c r="G61">
        <f t="shared" si="13"/>
        <v>3.5</v>
      </c>
      <c r="H61" t="s">
        <v>114</v>
      </c>
      <c r="L61">
        <v>4.1824000000000003</v>
      </c>
    </row>
    <row r="62" spans="1:12">
      <c r="A62">
        <f t="shared" si="11"/>
        <v>2040</v>
      </c>
      <c r="B62" t="str">
        <f t="shared" si="12"/>
        <v>R12_WEU</v>
      </c>
      <c r="C62" t="s">
        <v>249</v>
      </c>
      <c r="D62" t="s">
        <v>17</v>
      </c>
      <c r="E62">
        <f t="shared" si="10"/>
        <v>2040</v>
      </c>
      <c r="F62" t="s">
        <v>58</v>
      </c>
      <c r="G62">
        <f t="shared" si="13"/>
        <v>4.5</v>
      </c>
      <c r="H62" t="s">
        <v>114</v>
      </c>
      <c r="L62">
        <v>5.6382000000000003</v>
      </c>
    </row>
    <row r="63" spans="1:12">
      <c r="A63">
        <f t="shared" si="11"/>
        <v>2045</v>
      </c>
      <c r="B63" t="str">
        <f t="shared" si="12"/>
        <v>R12_WEU</v>
      </c>
      <c r="C63" t="s">
        <v>249</v>
      </c>
      <c r="D63" t="s">
        <v>17</v>
      </c>
      <c r="E63">
        <f t="shared" si="10"/>
        <v>2045</v>
      </c>
      <c r="F63" t="s">
        <v>58</v>
      </c>
      <c r="G63">
        <f t="shared" si="13"/>
        <v>5.5</v>
      </c>
      <c r="H63" t="s">
        <v>114</v>
      </c>
      <c r="L63">
        <v>7.93</v>
      </c>
    </row>
    <row r="64" spans="1:12">
      <c r="A64">
        <f t="shared" si="11"/>
        <v>2050</v>
      </c>
      <c r="B64" t="str">
        <f t="shared" si="12"/>
        <v>R12_WEU</v>
      </c>
      <c r="C64" t="s">
        <v>249</v>
      </c>
      <c r="D64" t="s">
        <v>17</v>
      </c>
      <c r="E64">
        <f t="shared" si="10"/>
        <v>2050</v>
      </c>
      <c r="F64" t="s">
        <v>58</v>
      </c>
      <c r="G64">
        <f t="shared" si="13"/>
        <v>6.5</v>
      </c>
      <c r="H64" t="s">
        <v>114</v>
      </c>
      <c r="L64">
        <v>8.8697999999999997</v>
      </c>
    </row>
    <row r="65" spans="1:12">
      <c r="A65">
        <f t="shared" si="11"/>
        <v>2055</v>
      </c>
      <c r="B65" t="str">
        <f t="shared" si="12"/>
        <v>R12_WEU</v>
      </c>
      <c r="C65" t="s">
        <v>249</v>
      </c>
      <c r="D65" t="s">
        <v>17</v>
      </c>
      <c r="E65">
        <f t="shared" si="10"/>
        <v>2055</v>
      </c>
      <c r="F65" t="s">
        <v>58</v>
      </c>
      <c r="G65">
        <f t="shared" si="13"/>
        <v>7.5</v>
      </c>
      <c r="H65" t="s">
        <v>114</v>
      </c>
      <c r="L65">
        <v>9.3302999999999994</v>
      </c>
    </row>
    <row r="66" spans="1:12">
      <c r="A66">
        <f t="shared" si="11"/>
        <v>2060</v>
      </c>
      <c r="B66" t="str">
        <f t="shared" si="12"/>
        <v>R12_WEU</v>
      </c>
      <c r="C66" t="s">
        <v>249</v>
      </c>
      <c r="D66" t="s">
        <v>17</v>
      </c>
      <c r="E66">
        <f t="shared" si="10"/>
        <v>2060</v>
      </c>
      <c r="F66" t="s">
        <v>58</v>
      </c>
      <c r="G66">
        <f t="shared" si="13"/>
        <v>8.5</v>
      </c>
      <c r="H66" t="s">
        <v>114</v>
      </c>
      <c r="L66">
        <v>9.8019999999999996</v>
      </c>
    </row>
    <row r="67" spans="1:12">
      <c r="A67">
        <f>A66+10</f>
        <v>2070</v>
      </c>
      <c r="B67" t="str">
        <f t="shared" si="12"/>
        <v>R12_WEU</v>
      </c>
      <c r="C67" t="s">
        <v>249</v>
      </c>
      <c r="D67" t="s">
        <v>17</v>
      </c>
      <c r="E67">
        <f t="shared" si="10"/>
        <v>2070</v>
      </c>
      <c r="F67" t="s">
        <v>58</v>
      </c>
      <c r="G67">
        <f t="shared" si="13"/>
        <v>9.5</v>
      </c>
      <c r="H67" t="s">
        <v>114</v>
      </c>
      <c r="L67">
        <v>9.8019999999999996</v>
      </c>
    </row>
    <row r="68" spans="1:12">
      <c r="A68">
        <f>A67+10</f>
        <v>2080</v>
      </c>
      <c r="B68" t="str">
        <f t="shared" si="12"/>
        <v>R12_WEU</v>
      </c>
      <c r="C68" t="s">
        <v>249</v>
      </c>
      <c r="D68" t="s">
        <v>17</v>
      </c>
      <c r="E68">
        <f t="shared" si="10"/>
        <v>2080</v>
      </c>
      <c r="F68" t="s">
        <v>58</v>
      </c>
      <c r="G68">
        <f t="shared" si="13"/>
        <v>10.5</v>
      </c>
      <c r="H68" t="s">
        <v>114</v>
      </c>
      <c r="L68">
        <v>9.8019999999999996</v>
      </c>
    </row>
    <row r="69" spans="1:12">
      <c r="A69">
        <f>A68+10</f>
        <v>2090</v>
      </c>
      <c r="B69" t="str">
        <f t="shared" si="12"/>
        <v>R12_WEU</v>
      </c>
      <c r="C69" t="s">
        <v>249</v>
      </c>
      <c r="D69" t="s">
        <v>17</v>
      </c>
      <c r="E69">
        <f t="shared" si="10"/>
        <v>2090</v>
      </c>
      <c r="F69" t="s">
        <v>58</v>
      </c>
      <c r="G69">
        <f t="shared" si="13"/>
        <v>11.5</v>
      </c>
      <c r="H69" t="s">
        <v>114</v>
      </c>
      <c r="L69">
        <v>9.8019999999999996</v>
      </c>
    </row>
    <row r="70" spans="1:12">
      <c r="A70">
        <f>A69+10</f>
        <v>2100</v>
      </c>
      <c r="B70" t="str">
        <f t="shared" si="12"/>
        <v>R12_WEU</v>
      </c>
      <c r="C70" t="s">
        <v>249</v>
      </c>
      <c r="D70" t="s">
        <v>17</v>
      </c>
      <c r="E70">
        <f t="shared" si="10"/>
        <v>2100</v>
      </c>
      <c r="F70" t="s">
        <v>58</v>
      </c>
      <c r="G70">
        <f t="shared" si="13"/>
        <v>12.5</v>
      </c>
      <c r="H70" t="s">
        <v>114</v>
      </c>
      <c r="L70">
        <v>9.8019999999999996</v>
      </c>
    </row>
    <row r="71" spans="1:12">
      <c r="A71">
        <f>A70+10</f>
        <v>2110</v>
      </c>
      <c r="B71" t="str">
        <f t="shared" si="12"/>
        <v>R12_WEU</v>
      </c>
      <c r="C71" t="s">
        <v>249</v>
      </c>
      <c r="D71" t="s">
        <v>17</v>
      </c>
      <c r="E71">
        <f t="shared" si="10"/>
        <v>2110</v>
      </c>
      <c r="F71" t="s">
        <v>58</v>
      </c>
      <c r="G71">
        <f t="shared" si="13"/>
        <v>13.5</v>
      </c>
      <c r="H71" t="s">
        <v>114</v>
      </c>
      <c r="L71">
        <v>9.8019999999999996</v>
      </c>
    </row>
    <row r="72" spans="1:12">
      <c r="A72">
        <v>2020</v>
      </c>
      <c r="B72" t="str">
        <f t="shared" si="12"/>
        <v>R12_WEU</v>
      </c>
      <c r="C72" t="s">
        <v>250</v>
      </c>
      <c r="D72" t="s">
        <v>17</v>
      </c>
      <c r="E72">
        <f t="shared" si="10"/>
        <v>2020</v>
      </c>
      <c r="F72" t="s">
        <v>58</v>
      </c>
      <c r="G72">
        <v>0.3</v>
      </c>
      <c r="H72" t="s">
        <v>114</v>
      </c>
      <c r="L72">
        <v>0.71307068681620867</v>
      </c>
    </row>
    <row r="73" spans="1:12">
      <c r="A73">
        <f t="shared" ref="A73:A80" si="14">A72+5</f>
        <v>2025</v>
      </c>
      <c r="B73" t="str">
        <f t="shared" si="12"/>
        <v>R12_WEU</v>
      </c>
      <c r="C73" t="s">
        <v>250</v>
      </c>
      <c r="D73" t="s">
        <v>17</v>
      </c>
      <c r="E73">
        <f t="shared" si="10"/>
        <v>2025</v>
      </c>
      <c r="F73" t="s">
        <v>58</v>
      </c>
      <c r="G73">
        <f>G72+1</f>
        <v>1.3</v>
      </c>
      <c r="H73" t="s">
        <v>114</v>
      </c>
      <c r="L73">
        <v>1.9191479337251223</v>
      </c>
    </row>
    <row r="74" spans="1:12">
      <c r="A74">
        <f t="shared" si="14"/>
        <v>2030</v>
      </c>
      <c r="B74" t="str">
        <f t="shared" si="12"/>
        <v>R12_WEU</v>
      </c>
      <c r="C74" t="s">
        <v>250</v>
      </c>
      <c r="D74" t="s">
        <v>17</v>
      </c>
      <c r="E74">
        <f t="shared" si="10"/>
        <v>2030</v>
      </c>
      <c r="F74" t="s">
        <v>58</v>
      </c>
      <c r="G74">
        <f t="shared" ref="G74:G85" si="15">G73+1</f>
        <v>2.2999999999999998</v>
      </c>
      <c r="H74" t="s">
        <v>114</v>
      </c>
      <c r="L74">
        <v>3.5536339427554968</v>
      </c>
    </row>
    <row r="75" spans="1:12">
      <c r="A75">
        <f t="shared" si="14"/>
        <v>2035</v>
      </c>
      <c r="B75" t="str">
        <f t="shared" si="12"/>
        <v>R12_WEU</v>
      </c>
      <c r="C75" t="s">
        <v>250</v>
      </c>
      <c r="D75" t="s">
        <v>17</v>
      </c>
      <c r="E75">
        <f t="shared" si="10"/>
        <v>2035</v>
      </c>
      <c r="F75" t="s">
        <v>58</v>
      </c>
      <c r="G75">
        <f t="shared" si="15"/>
        <v>3.3</v>
      </c>
      <c r="H75" t="s">
        <v>114</v>
      </c>
      <c r="L75">
        <v>4.9204383366391777</v>
      </c>
    </row>
    <row r="76" spans="1:12">
      <c r="A76">
        <f t="shared" si="14"/>
        <v>2040</v>
      </c>
      <c r="B76" t="str">
        <f t="shared" si="12"/>
        <v>R12_WEU</v>
      </c>
      <c r="C76" t="s">
        <v>250</v>
      </c>
      <c r="D76" t="s">
        <v>17</v>
      </c>
      <c r="E76">
        <f t="shared" si="10"/>
        <v>2040</v>
      </c>
      <c r="F76" t="s">
        <v>58</v>
      </c>
      <c r="G76">
        <f t="shared" si="15"/>
        <v>4.3</v>
      </c>
      <c r="H76" t="s">
        <v>114</v>
      </c>
      <c r="L76">
        <v>5.6382137810895188</v>
      </c>
    </row>
    <row r="77" spans="1:12">
      <c r="A77">
        <f t="shared" si="14"/>
        <v>2045</v>
      </c>
      <c r="B77" t="str">
        <f t="shared" si="12"/>
        <v>R12_WEU</v>
      </c>
      <c r="C77" t="s">
        <v>250</v>
      </c>
      <c r="D77" t="s">
        <v>17</v>
      </c>
      <c r="E77">
        <f t="shared" si="10"/>
        <v>2045</v>
      </c>
      <c r="F77" t="s">
        <v>58</v>
      </c>
      <c r="G77">
        <f t="shared" si="15"/>
        <v>5.3</v>
      </c>
      <c r="H77" t="s">
        <v>114</v>
      </c>
      <c r="L77">
        <v>7.9299823532878193</v>
      </c>
    </row>
    <row r="78" spans="1:12">
      <c r="A78">
        <f t="shared" si="14"/>
        <v>2050</v>
      </c>
      <c r="B78" t="str">
        <f t="shared" si="12"/>
        <v>R12_WEU</v>
      </c>
      <c r="C78" t="s">
        <v>250</v>
      </c>
      <c r="D78" t="s">
        <v>17</v>
      </c>
      <c r="E78">
        <f t="shared" si="10"/>
        <v>2050</v>
      </c>
      <c r="F78" t="s">
        <v>58</v>
      </c>
      <c r="G78">
        <f t="shared" si="15"/>
        <v>6.3</v>
      </c>
      <c r="H78" t="s">
        <v>114</v>
      </c>
      <c r="L78">
        <v>8.8697686987664355</v>
      </c>
    </row>
    <row r="79" spans="1:12">
      <c r="A79">
        <f t="shared" si="14"/>
        <v>2055</v>
      </c>
      <c r="B79" t="str">
        <f t="shared" si="12"/>
        <v>R12_WEU</v>
      </c>
      <c r="C79" t="s">
        <v>250</v>
      </c>
      <c r="D79" t="s">
        <v>17</v>
      </c>
      <c r="E79">
        <f t="shared" si="10"/>
        <v>2055</v>
      </c>
      <c r="F79" t="s">
        <v>58</v>
      </c>
      <c r="G79">
        <f t="shared" si="15"/>
        <v>7.3</v>
      </c>
      <c r="H79" t="s">
        <v>114</v>
      </c>
      <c r="L79">
        <v>9.3302744244813969</v>
      </c>
    </row>
    <row r="80" spans="1:12">
      <c r="A80">
        <f t="shared" si="14"/>
        <v>2060</v>
      </c>
      <c r="B80" t="str">
        <f t="shared" si="12"/>
        <v>R12_WEU</v>
      </c>
      <c r="C80" t="s">
        <v>250</v>
      </c>
      <c r="D80" t="s">
        <v>17</v>
      </c>
      <c r="E80">
        <f t="shared" si="10"/>
        <v>2060</v>
      </c>
      <c r="F80" t="s">
        <v>58</v>
      </c>
      <c r="G80">
        <f t="shared" si="15"/>
        <v>8.3000000000000007</v>
      </c>
      <c r="H80" t="s">
        <v>114</v>
      </c>
      <c r="L80">
        <v>9.8019697923151483</v>
      </c>
    </row>
    <row r="81" spans="1:12">
      <c r="A81">
        <f>A80+10</f>
        <v>2070</v>
      </c>
      <c r="B81" t="str">
        <f t="shared" si="12"/>
        <v>R12_WEU</v>
      </c>
      <c r="C81" t="s">
        <v>250</v>
      </c>
      <c r="D81" t="s">
        <v>17</v>
      </c>
      <c r="E81">
        <f t="shared" si="10"/>
        <v>2070</v>
      </c>
      <c r="F81" t="s">
        <v>58</v>
      </c>
      <c r="G81">
        <f t="shared" si="15"/>
        <v>9.3000000000000007</v>
      </c>
      <c r="H81" t="s">
        <v>114</v>
      </c>
      <c r="L81">
        <v>9.8019697923151483</v>
      </c>
    </row>
    <row r="82" spans="1:12">
      <c r="A82">
        <f>A81+10</f>
        <v>2080</v>
      </c>
      <c r="B82" t="str">
        <f t="shared" si="12"/>
        <v>R12_WEU</v>
      </c>
      <c r="C82" t="s">
        <v>250</v>
      </c>
      <c r="D82" t="s">
        <v>17</v>
      </c>
      <c r="E82">
        <f t="shared" si="10"/>
        <v>2080</v>
      </c>
      <c r="F82" t="s">
        <v>58</v>
      </c>
      <c r="G82">
        <f t="shared" si="15"/>
        <v>10.3</v>
      </c>
      <c r="H82" t="s">
        <v>114</v>
      </c>
      <c r="L82">
        <v>9.8019697923151483</v>
      </c>
    </row>
    <row r="83" spans="1:12">
      <c r="A83">
        <f>A82+10</f>
        <v>2090</v>
      </c>
      <c r="B83" t="str">
        <f t="shared" si="12"/>
        <v>R12_WEU</v>
      </c>
      <c r="C83" t="s">
        <v>250</v>
      </c>
      <c r="D83" t="s">
        <v>17</v>
      </c>
      <c r="E83">
        <f t="shared" si="10"/>
        <v>2090</v>
      </c>
      <c r="F83" t="s">
        <v>58</v>
      </c>
      <c r="G83">
        <f t="shared" si="15"/>
        <v>11.3</v>
      </c>
      <c r="H83" t="s">
        <v>114</v>
      </c>
      <c r="L83">
        <v>9.8019697923151483</v>
      </c>
    </row>
    <row r="84" spans="1:12">
      <c r="A84">
        <f>A83+10</f>
        <v>2100</v>
      </c>
      <c r="B84" t="str">
        <f t="shared" si="12"/>
        <v>R12_WEU</v>
      </c>
      <c r="C84" t="s">
        <v>250</v>
      </c>
      <c r="D84" t="s">
        <v>17</v>
      </c>
      <c r="E84">
        <f t="shared" si="10"/>
        <v>2100</v>
      </c>
      <c r="F84" t="s">
        <v>58</v>
      </c>
      <c r="G84">
        <f t="shared" si="15"/>
        <v>12.3</v>
      </c>
      <c r="H84" t="s">
        <v>114</v>
      </c>
      <c r="L84">
        <v>9.8019697923151483</v>
      </c>
    </row>
    <row r="85" spans="1:12">
      <c r="A85">
        <f>A84+10</f>
        <v>2110</v>
      </c>
      <c r="B85" t="str">
        <f t="shared" si="12"/>
        <v>R12_WEU</v>
      </c>
      <c r="C85" t="s">
        <v>250</v>
      </c>
      <c r="D85" t="s">
        <v>17</v>
      </c>
      <c r="E85">
        <f t="shared" si="10"/>
        <v>2110</v>
      </c>
      <c r="F85" t="s">
        <v>58</v>
      </c>
      <c r="G85">
        <f t="shared" si="15"/>
        <v>13.3</v>
      </c>
      <c r="H85" t="s">
        <v>114</v>
      </c>
      <c r="L85">
        <v>9.8019697923151483</v>
      </c>
    </row>
    <row r="86" spans="1:12">
      <c r="A86">
        <v>2020</v>
      </c>
      <c r="B86" t="str">
        <f t="shared" si="12"/>
        <v>R12_WEU</v>
      </c>
      <c r="C86" t="s">
        <v>251</v>
      </c>
      <c r="D86" t="s">
        <v>17</v>
      </c>
      <c r="E86">
        <f t="shared" si="10"/>
        <v>2020</v>
      </c>
      <c r="F86" t="s">
        <v>58</v>
      </c>
      <c r="G86">
        <v>0.1</v>
      </c>
      <c r="H86" t="s">
        <v>114</v>
      </c>
      <c r="L86">
        <v>0.4753804578774723</v>
      </c>
    </row>
    <row r="87" spans="1:12">
      <c r="A87">
        <f t="shared" ref="A87:A94" si="16">A86+5</f>
        <v>2025</v>
      </c>
      <c r="B87" t="str">
        <f t="shared" si="12"/>
        <v>R12_WEU</v>
      </c>
      <c r="C87" t="s">
        <v>251</v>
      </c>
      <c r="D87" t="s">
        <v>17</v>
      </c>
      <c r="E87">
        <f t="shared" si="10"/>
        <v>2025</v>
      </c>
      <c r="F87" t="s">
        <v>58</v>
      </c>
      <c r="G87">
        <f>G86+1</f>
        <v>1.1000000000000001</v>
      </c>
      <c r="H87" t="s">
        <v>114</v>
      </c>
      <c r="L87">
        <v>2.5360169124224834</v>
      </c>
    </row>
    <row r="88" spans="1:12">
      <c r="A88">
        <f t="shared" si="16"/>
        <v>2030</v>
      </c>
      <c r="B88" t="str">
        <f t="shared" si="12"/>
        <v>R12_WEU</v>
      </c>
      <c r="C88" t="s">
        <v>251</v>
      </c>
      <c r="D88" t="s">
        <v>17</v>
      </c>
      <c r="E88">
        <f t="shared" si="10"/>
        <v>2030</v>
      </c>
      <c r="F88" t="s">
        <v>58</v>
      </c>
      <c r="G88">
        <f t="shared" ref="G88:G99" si="17">G87+1</f>
        <v>2.1</v>
      </c>
      <c r="H88" t="s">
        <v>114</v>
      </c>
      <c r="L88">
        <v>7.3806243426460334</v>
      </c>
    </row>
    <row r="89" spans="1:12">
      <c r="A89">
        <f t="shared" si="16"/>
        <v>2035</v>
      </c>
      <c r="B89" t="str">
        <f t="shared" si="12"/>
        <v>R12_WEU</v>
      </c>
      <c r="C89" t="s">
        <v>251</v>
      </c>
      <c r="D89" t="s">
        <v>17</v>
      </c>
      <c r="E89">
        <f t="shared" si="10"/>
        <v>2035</v>
      </c>
      <c r="F89" t="s">
        <v>58</v>
      </c>
      <c r="G89">
        <f t="shared" si="17"/>
        <v>3.1</v>
      </c>
      <c r="H89" t="s">
        <v>114</v>
      </c>
      <c r="L89">
        <v>17.713578011901042</v>
      </c>
    </row>
    <row r="90" spans="1:12">
      <c r="A90">
        <f t="shared" si="16"/>
        <v>2040</v>
      </c>
      <c r="B90" t="str">
        <f t="shared" si="12"/>
        <v>R12_WEU</v>
      </c>
      <c r="C90" t="s">
        <v>251</v>
      </c>
      <c r="D90" t="s">
        <v>17</v>
      </c>
      <c r="E90">
        <f t="shared" si="10"/>
        <v>2040</v>
      </c>
      <c r="F90" t="s">
        <v>58</v>
      </c>
      <c r="G90">
        <f t="shared" si="17"/>
        <v>4.0999999999999996</v>
      </c>
      <c r="H90" t="s">
        <v>114</v>
      </c>
      <c r="L90">
        <v>36.245660021289758</v>
      </c>
    </row>
    <row r="91" spans="1:12">
      <c r="A91">
        <f t="shared" si="16"/>
        <v>2045</v>
      </c>
      <c r="B91" t="str">
        <f t="shared" si="12"/>
        <v>R12_WEU</v>
      </c>
      <c r="C91" t="s">
        <v>251</v>
      </c>
      <c r="D91" t="s">
        <v>17</v>
      </c>
      <c r="E91">
        <f t="shared" si="10"/>
        <v>2045</v>
      </c>
      <c r="F91" t="s">
        <v>58</v>
      </c>
      <c r="G91">
        <f t="shared" si="17"/>
        <v>5.0999999999999996</v>
      </c>
      <c r="H91" t="s">
        <v>114</v>
      </c>
      <c r="L91">
        <v>42.482048321184728</v>
      </c>
    </row>
    <row r="92" spans="1:12">
      <c r="A92">
        <f t="shared" si="16"/>
        <v>2050</v>
      </c>
      <c r="B92" t="str">
        <f t="shared" si="12"/>
        <v>R12_WEU</v>
      </c>
      <c r="C92" t="s">
        <v>251</v>
      </c>
      <c r="D92" t="s">
        <v>17</v>
      </c>
      <c r="E92">
        <f t="shared" si="10"/>
        <v>2050</v>
      </c>
      <c r="F92" t="s">
        <v>58</v>
      </c>
      <c r="G92">
        <f t="shared" si="17"/>
        <v>6.1</v>
      </c>
      <c r="H92" t="s">
        <v>114</v>
      </c>
      <c r="L92">
        <v>38.013294423284727</v>
      </c>
    </row>
    <row r="93" spans="1:12">
      <c r="A93">
        <f t="shared" si="16"/>
        <v>2055</v>
      </c>
      <c r="B93" t="str">
        <f t="shared" si="12"/>
        <v>R12_WEU</v>
      </c>
      <c r="C93" t="s">
        <v>251</v>
      </c>
      <c r="D93" t="s">
        <v>17</v>
      </c>
      <c r="E93">
        <f t="shared" si="10"/>
        <v>2055</v>
      </c>
      <c r="F93" t="s">
        <v>58</v>
      </c>
      <c r="G93">
        <f t="shared" si="17"/>
        <v>7.1</v>
      </c>
      <c r="H93" t="s">
        <v>114</v>
      </c>
      <c r="L93">
        <v>39.986890390634557</v>
      </c>
    </row>
    <row r="94" spans="1:12">
      <c r="A94">
        <f t="shared" si="16"/>
        <v>2060</v>
      </c>
      <c r="B94" t="str">
        <f t="shared" si="12"/>
        <v>R12_WEU</v>
      </c>
      <c r="C94" t="s">
        <v>251</v>
      </c>
      <c r="D94" t="s">
        <v>17</v>
      </c>
      <c r="E94">
        <f t="shared" si="10"/>
        <v>2060</v>
      </c>
      <c r="F94" t="s">
        <v>58</v>
      </c>
      <c r="G94">
        <f t="shared" si="17"/>
        <v>8.1</v>
      </c>
      <c r="H94" t="s">
        <v>114</v>
      </c>
      <c r="L94">
        <v>42.008441967064911</v>
      </c>
    </row>
    <row r="95" spans="1:12">
      <c r="A95">
        <f>A94+10</f>
        <v>2070</v>
      </c>
      <c r="B95" t="str">
        <f t="shared" si="12"/>
        <v>R12_WEU</v>
      </c>
      <c r="C95" t="s">
        <v>251</v>
      </c>
      <c r="D95" t="s">
        <v>17</v>
      </c>
      <c r="E95">
        <f t="shared" si="10"/>
        <v>2070</v>
      </c>
      <c r="F95" t="s">
        <v>58</v>
      </c>
      <c r="G95">
        <f t="shared" si="17"/>
        <v>9.1</v>
      </c>
      <c r="H95" t="s">
        <v>114</v>
      </c>
      <c r="L95">
        <v>42.008441967064911</v>
      </c>
    </row>
    <row r="96" spans="1:12">
      <c r="A96">
        <f>A95+10</f>
        <v>2080</v>
      </c>
      <c r="B96" t="str">
        <f t="shared" si="12"/>
        <v>R12_WEU</v>
      </c>
      <c r="C96" t="s">
        <v>251</v>
      </c>
      <c r="D96" t="s">
        <v>17</v>
      </c>
      <c r="E96">
        <f t="shared" si="10"/>
        <v>2080</v>
      </c>
      <c r="F96" t="s">
        <v>58</v>
      </c>
      <c r="G96">
        <f t="shared" si="17"/>
        <v>10.1</v>
      </c>
      <c r="H96" t="s">
        <v>114</v>
      </c>
      <c r="L96">
        <v>42.008441967064911</v>
      </c>
    </row>
    <row r="97" spans="1:12">
      <c r="A97">
        <f>A96+10</f>
        <v>2090</v>
      </c>
      <c r="B97" t="str">
        <f t="shared" si="12"/>
        <v>R12_WEU</v>
      </c>
      <c r="C97" t="s">
        <v>251</v>
      </c>
      <c r="D97" t="s">
        <v>17</v>
      </c>
      <c r="E97">
        <f t="shared" si="10"/>
        <v>2090</v>
      </c>
      <c r="F97" t="s">
        <v>58</v>
      </c>
      <c r="G97">
        <f t="shared" si="17"/>
        <v>11.1</v>
      </c>
      <c r="H97" t="s">
        <v>114</v>
      </c>
      <c r="L97">
        <v>42.008441967064911</v>
      </c>
    </row>
    <row r="98" spans="1:12">
      <c r="A98">
        <f>A97+10</f>
        <v>2100</v>
      </c>
      <c r="B98" t="str">
        <f t="shared" si="12"/>
        <v>R12_WEU</v>
      </c>
      <c r="C98" t="s">
        <v>251</v>
      </c>
      <c r="D98" t="s">
        <v>17</v>
      </c>
      <c r="E98">
        <f t="shared" si="10"/>
        <v>2100</v>
      </c>
      <c r="F98" t="s">
        <v>58</v>
      </c>
      <c r="G98">
        <f t="shared" si="17"/>
        <v>12.1</v>
      </c>
      <c r="H98" t="s">
        <v>114</v>
      </c>
      <c r="L98">
        <v>42.008441967064911</v>
      </c>
    </row>
    <row r="99" spans="1:12">
      <c r="A99">
        <f>A98+10</f>
        <v>2110</v>
      </c>
      <c r="B99" t="str">
        <f t="shared" si="12"/>
        <v>R12_WEU</v>
      </c>
      <c r="C99" t="s">
        <v>251</v>
      </c>
      <c r="D99" t="s">
        <v>17</v>
      </c>
      <c r="E99">
        <f t="shared" si="10"/>
        <v>2110</v>
      </c>
      <c r="F99" t="s">
        <v>58</v>
      </c>
      <c r="G99">
        <f t="shared" si="17"/>
        <v>13.1</v>
      </c>
      <c r="H99" t="s">
        <v>114</v>
      </c>
      <c r="L99">
        <v>42.008441967064911</v>
      </c>
    </row>
    <row r="100" spans="1:12">
      <c r="A100">
        <v>2020</v>
      </c>
      <c r="B100" t="str">
        <f t="shared" si="12"/>
        <v>R12_WEU</v>
      </c>
      <c r="C100" t="s">
        <v>252</v>
      </c>
      <c r="D100" t="s">
        <v>17</v>
      </c>
      <c r="E100">
        <f t="shared" si="10"/>
        <v>2020</v>
      </c>
      <c r="F100" t="s">
        <v>58</v>
      </c>
      <c r="G100">
        <v>0.2</v>
      </c>
      <c r="H100" t="s">
        <v>114</v>
      </c>
      <c r="L100">
        <v>1.0933750531181863</v>
      </c>
    </row>
    <row r="101" spans="1:12">
      <c r="A101">
        <f t="shared" ref="A101:A108" si="18">A100+5</f>
        <v>2025</v>
      </c>
      <c r="B101" t="str">
        <f t="shared" si="12"/>
        <v>R12_WEU</v>
      </c>
      <c r="C101" t="s">
        <v>252</v>
      </c>
      <c r="D101" t="s">
        <v>17</v>
      </c>
      <c r="E101">
        <f t="shared" si="10"/>
        <v>2025</v>
      </c>
      <c r="F101" t="s">
        <v>58</v>
      </c>
      <c r="G101">
        <f>G100+1</f>
        <v>1.2</v>
      </c>
      <c r="H101" t="s">
        <v>114</v>
      </c>
      <c r="L101">
        <v>3.4270498816520045</v>
      </c>
    </row>
    <row r="102" spans="1:12">
      <c r="A102">
        <f t="shared" si="18"/>
        <v>2030</v>
      </c>
      <c r="B102" t="str">
        <f t="shared" si="12"/>
        <v>R12_WEU</v>
      </c>
      <c r="C102" t="s">
        <v>252</v>
      </c>
      <c r="D102" t="s">
        <v>17</v>
      </c>
      <c r="E102">
        <f t="shared" si="10"/>
        <v>2030</v>
      </c>
      <c r="F102" t="s">
        <v>58</v>
      </c>
      <c r="G102">
        <f t="shared" ref="G102:G113" si="19">G101+1</f>
        <v>2.2000000000000002</v>
      </c>
      <c r="H102" t="s">
        <v>114</v>
      </c>
      <c r="L102">
        <v>7.3806243426460334</v>
      </c>
    </row>
    <row r="103" spans="1:12">
      <c r="A103">
        <f t="shared" si="18"/>
        <v>2035</v>
      </c>
      <c r="B103" t="str">
        <f t="shared" si="12"/>
        <v>R12_WEU</v>
      </c>
      <c r="C103" t="s">
        <v>252</v>
      </c>
      <c r="D103" t="s">
        <v>17</v>
      </c>
      <c r="E103">
        <f t="shared" si="10"/>
        <v>2035</v>
      </c>
      <c r="F103" t="s">
        <v>58</v>
      </c>
      <c r="G103">
        <f t="shared" si="19"/>
        <v>3.2</v>
      </c>
      <c r="H103" t="s">
        <v>114</v>
      </c>
      <c r="L103">
        <v>10.578942423774233</v>
      </c>
    </row>
    <row r="104" spans="1:12">
      <c r="A104">
        <f t="shared" si="18"/>
        <v>2040</v>
      </c>
      <c r="B104" t="str">
        <f t="shared" si="12"/>
        <v>R12_WEU</v>
      </c>
      <c r="C104" t="s">
        <v>252</v>
      </c>
      <c r="D104" t="s">
        <v>17</v>
      </c>
      <c r="E104">
        <f t="shared" si="10"/>
        <v>2040</v>
      </c>
      <c r="F104" t="s">
        <v>58</v>
      </c>
      <c r="G104">
        <f t="shared" si="19"/>
        <v>4.2</v>
      </c>
      <c r="H104" t="s">
        <v>114</v>
      </c>
      <c r="L104">
        <v>12.887345785347472</v>
      </c>
    </row>
    <row r="105" spans="1:12">
      <c r="A105">
        <f t="shared" si="18"/>
        <v>2045</v>
      </c>
      <c r="B105" t="str">
        <f t="shared" si="12"/>
        <v>R12_WEU</v>
      </c>
      <c r="C105" t="s">
        <v>252</v>
      </c>
      <c r="D105" t="s">
        <v>17</v>
      </c>
      <c r="E105">
        <f t="shared" si="10"/>
        <v>2045</v>
      </c>
      <c r="F105" t="s">
        <v>58</v>
      </c>
      <c r="G105">
        <f t="shared" si="19"/>
        <v>5.2</v>
      </c>
      <c r="H105" t="s">
        <v>114</v>
      </c>
      <c r="L105">
        <v>18.125673950372153</v>
      </c>
    </row>
    <row r="106" spans="1:12">
      <c r="A106">
        <f t="shared" si="18"/>
        <v>2050</v>
      </c>
      <c r="B106" t="str">
        <f t="shared" si="12"/>
        <v>R12_WEU</v>
      </c>
      <c r="C106" t="s">
        <v>252</v>
      </c>
      <c r="D106" t="s">
        <v>17</v>
      </c>
      <c r="E106">
        <f t="shared" si="10"/>
        <v>2050</v>
      </c>
      <c r="F106" t="s">
        <v>58</v>
      </c>
      <c r="G106">
        <f t="shared" si="19"/>
        <v>6.2</v>
      </c>
      <c r="H106" t="s">
        <v>114</v>
      </c>
      <c r="L106">
        <v>20.273757025751856</v>
      </c>
    </row>
    <row r="107" spans="1:12">
      <c r="A107">
        <f t="shared" si="18"/>
        <v>2055</v>
      </c>
      <c r="B107" t="str">
        <f t="shared" si="12"/>
        <v>R12_WEU</v>
      </c>
      <c r="C107" t="s">
        <v>252</v>
      </c>
      <c r="D107" t="s">
        <v>17</v>
      </c>
      <c r="E107">
        <f t="shared" si="10"/>
        <v>2055</v>
      </c>
      <c r="F107" t="s">
        <v>58</v>
      </c>
      <c r="G107">
        <f t="shared" si="19"/>
        <v>7.2</v>
      </c>
      <c r="H107" t="s">
        <v>114</v>
      </c>
      <c r="L107">
        <v>21.326341541671763</v>
      </c>
    </row>
    <row r="108" spans="1:12">
      <c r="A108">
        <f t="shared" si="18"/>
        <v>2060</v>
      </c>
      <c r="B108" t="str">
        <f t="shared" si="12"/>
        <v>R12_WEU</v>
      </c>
      <c r="C108" t="s">
        <v>252</v>
      </c>
      <c r="D108" t="s">
        <v>17</v>
      </c>
      <c r="E108">
        <f t="shared" si="10"/>
        <v>2060</v>
      </c>
      <c r="F108" t="s">
        <v>58</v>
      </c>
      <c r="G108">
        <f t="shared" si="19"/>
        <v>8.1999999999999993</v>
      </c>
      <c r="H108" t="s">
        <v>114</v>
      </c>
      <c r="L108">
        <v>22.404502382434622</v>
      </c>
    </row>
    <row r="109" spans="1:12">
      <c r="A109">
        <f>A108+10</f>
        <v>2070</v>
      </c>
      <c r="B109" t="str">
        <f t="shared" si="12"/>
        <v>R12_WEU</v>
      </c>
      <c r="C109" t="s">
        <v>252</v>
      </c>
      <c r="D109" t="s">
        <v>17</v>
      </c>
      <c r="E109">
        <f t="shared" si="10"/>
        <v>2070</v>
      </c>
      <c r="F109" t="s">
        <v>58</v>
      </c>
      <c r="G109">
        <f t="shared" si="19"/>
        <v>9.1999999999999993</v>
      </c>
      <c r="H109" t="s">
        <v>114</v>
      </c>
      <c r="L109">
        <v>22.404502382434622</v>
      </c>
    </row>
    <row r="110" spans="1:12">
      <c r="A110">
        <f>A109+10</f>
        <v>2080</v>
      </c>
      <c r="B110" t="str">
        <f t="shared" si="12"/>
        <v>R12_WEU</v>
      </c>
      <c r="C110" t="s">
        <v>252</v>
      </c>
      <c r="D110" t="s">
        <v>17</v>
      </c>
      <c r="E110">
        <f t="shared" si="10"/>
        <v>2080</v>
      </c>
      <c r="F110" t="s">
        <v>58</v>
      </c>
      <c r="G110">
        <f t="shared" si="19"/>
        <v>10.199999999999999</v>
      </c>
      <c r="H110" t="s">
        <v>114</v>
      </c>
      <c r="L110">
        <v>22.404502382434622</v>
      </c>
    </row>
    <row r="111" spans="1:12">
      <c r="A111">
        <f>A110+10</f>
        <v>2090</v>
      </c>
      <c r="B111" t="str">
        <f t="shared" si="12"/>
        <v>R12_WEU</v>
      </c>
      <c r="C111" t="s">
        <v>252</v>
      </c>
      <c r="D111" t="s">
        <v>17</v>
      </c>
      <c r="E111">
        <f t="shared" si="10"/>
        <v>2090</v>
      </c>
      <c r="F111" t="s">
        <v>58</v>
      </c>
      <c r="G111">
        <f t="shared" si="19"/>
        <v>11.2</v>
      </c>
      <c r="H111" t="s">
        <v>114</v>
      </c>
      <c r="L111">
        <v>22.404502382434622</v>
      </c>
    </row>
    <row r="112" spans="1:12">
      <c r="A112">
        <f>A111+10</f>
        <v>2100</v>
      </c>
      <c r="B112" t="str">
        <f t="shared" si="12"/>
        <v>R12_WEU</v>
      </c>
      <c r="C112" t="s">
        <v>252</v>
      </c>
      <c r="D112" t="s">
        <v>17</v>
      </c>
      <c r="E112">
        <f t="shared" si="10"/>
        <v>2100</v>
      </c>
      <c r="F112" t="s">
        <v>58</v>
      </c>
      <c r="G112">
        <f t="shared" si="19"/>
        <v>12.2</v>
      </c>
      <c r="H112" t="s">
        <v>114</v>
      </c>
      <c r="L112">
        <v>22.404502382434622</v>
      </c>
    </row>
    <row r="113" spans="1:12" ht="15.75" thickBot="1">
      <c r="A113">
        <f>A112+10</f>
        <v>2110</v>
      </c>
      <c r="B113" t="str">
        <f t="shared" si="12"/>
        <v>R12_WEU</v>
      </c>
      <c r="C113" t="s">
        <v>252</v>
      </c>
      <c r="D113" t="s">
        <v>17</v>
      </c>
      <c r="E113">
        <f t="shared" si="10"/>
        <v>2110</v>
      </c>
      <c r="F113" t="s">
        <v>58</v>
      </c>
      <c r="G113">
        <f t="shared" si="19"/>
        <v>13.2</v>
      </c>
      <c r="H113" t="s">
        <v>114</v>
      </c>
      <c r="L113">
        <v>22.404502382434622</v>
      </c>
    </row>
    <row r="114" spans="1:12">
      <c r="A114" s="72">
        <v>2020</v>
      </c>
      <c r="B114" s="73" t="s">
        <v>443</v>
      </c>
      <c r="C114" s="73" t="s">
        <v>249</v>
      </c>
      <c r="D114" s="73" t="s">
        <v>17</v>
      </c>
      <c r="E114" s="73">
        <f t="shared" si="10"/>
        <v>2020</v>
      </c>
      <c r="F114" s="73" t="s">
        <v>58</v>
      </c>
      <c r="G114">
        <v>0.5</v>
      </c>
      <c r="H114" s="74" t="s">
        <v>114</v>
      </c>
      <c r="L114">
        <v>1.1694</v>
      </c>
    </row>
    <row r="115" spans="1:12">
      <c r="A115" s="75">
        <f t="shared" ref="A115:A122" si="20">A114+5</f>
        <v>2025</v>
      </c>
      <c r="B115" t="str">
        <f>B114</f>
        <v>R12_NAM</v>
      </c>
      <c r="C115" t="s">
        <v>249</v>
      </c>
      <c r="D115" t="s">
        <v>17</v>
      </c>
      <c r="E115">
        <f t="shared" si="10"/>
        <v>2025</v>
      </c>
      <c r="F115" t="s">
        <v>58</v>
      </c>
      <c r="G115">
        <f>G114+1</f>
        <v>1.5</v>
      </c>
      <c r="H115" s="76" t="s">
        <v>114</v>
      </c>
      <c r="L115">
        <v>2.0562</v>
      </c>
    </row>
    <row r="116" spans="1:12">
      <c r="A116" s="75">
        <f t="shared" si="20"/>
        <v>2030</v>
      </c>
      <c r="B116" t="str">
        <f t="shared" ref="B116:B169" si="21">B115</f>
        <v>R12_NAM</v>
      </c>
      <c r="C116" t="s">
        <v>249</v>
      </c>
      <c r="D116" t="s">
        <v>17</v>
      </c>
      <c r="E116">
        <f t="shared" si="10"/>
        <v>2030</v>
      </c>
      <c r="F116" t="s">
        <v>58</v>
      </c>
      <c r="G116">
        <f t="shared" ref="G116:G127" si="22">G115+1</f>
        <v>2.5</v>
      </c>
      <c r="H116" s="76" t="s">
        <v>114</v>
      </c>
      <c r="L116">
        <v>2.7336</v>
      </c>
    </row>
    <row r="117" spans="1:12">
      <c r="A117" s="75">
        <f t="shared" si="20"/>
        <v>2035</v>
      </c>
      <c r="B117" t="str">
        <f t="shared" si="21"/>
        <v>R12_NAM</v>
      </c>
      <c r="C117" t="s">
        <v>249</v>
      </c>
      <c r="D117" t="s">
        <v>17</v>
      </c>
      <c r="E117">
        <f t="shared" si="10"/>
        <v>2035</v>
      </c>
      <c r="F117" t="s">
        <v>58</v>
      </c>
      <c r="G117">
        <f t="shared" si="22"/>
        <v>3.5</v>
      </c>
      <c r="H117" s="76" t="s">
        <v>114</v>
      </c>
      <c r="L117">
        <v>4.1824000000000003</v>
      </c>
    </row>
    <row r="118" spans="1:12">
      <c r="A118" s="75">
        <f t="shared" si="20"/>
        <v>2040</v>
      </c>
      <c r="B118" t="str">
        <f t="shared" si="21"/>
        <v>R12_NAM</v>
      </c>
      <c r="C118" t="s">
        <v>249</v>
      </c>
      <c r="D118" t="s">
        <v>17</v>
      </c>
      <c r="E118">
        <f t="shared" si="10"/>
        <v>2040</v>
      </c>
      <c r="F118" t="s">
        <v>58</v>
      </c>
      <c r="G118">
        <f t="shared" si="22"/>
        <v>4.5</v>
      </c>
      <c r="H118" s="76" t="s">
        <v>114</v>
      </c>
      <c r="L118">
        <v>5.6382000000000003</v>
      </c>
    </row>
    <row r="119" spans="1:12">
      <c r="A119" s="75">
        <f t="shared" si="20"/>
        <v>2045</v>
      </c>
      <c r="B119" t="str">
        <f t="shared" si="21"/>
        <v>R12_NAM</v>
      </c>
      <c r="C119" t="s">
        <v>249</v>
      </c>
      <c r="D119" t="s">
        <v>17</v>
      </c>
      <c r="E119">
        <f t="shared" si="10"/>
        <v>2045</v>
      </c>
      <c r="F119" t="s">
        <v>58</v>
      </c>
      <c r="G119">
        <f t="shared" si="22"/>
        <v>5.5</v>
      </c>
      <c r="H119" s="76" t="s">
        <v>114</v>
      </c>
      <c r="L119">
        <v>7.93</v>
      </c>
    </row>
    <row r="120" spans="1:12">
      <c r="A120" s="75">
        <f t="shared" si="20"/>
        <v>2050</v>
      </c>
      <c r="B120" t="str">
        <f t="shared" si="21"/>
        <v>R12_NAM</v>
      </c>
      <c r="C120" t="s">
        <v>249</v>
      </c>
      <c r="D120" t="s">
        <v>17</v>
      </c>
      <c r="E120">
        <f t="shared" si="10"/>
        <v>2050</v>
      </c>
      <c r="F120" t="s">
        <v>58</v>
      </c>
      <c r="G120">
        <f t="shared" si="22"/>
        <v>6.5</v>
      </c>
      <c r="H120" s="76" t="s">
        <v>114</v>
      </c>
      <c r="L120">
        <v>8.8697999999999997</v>
      </c>
    </row>
    <row r="121" spans="1:12">
      <c r="A121" s="75">
        <f t="shared" si="20"/>
        <v>2055</v>
      </c>
      <c r="B121" t="str">
        <f t="shared" si="21"/>
        <v>R12_NAM</v>
      </c>
      <c r="C121" t="s">
        <v>249</v>
      </c>
      <c r="D121" t="s">
        <v>17</v>
      </c>
      <c r="E121">
        <f t="shared" si="10"/>
        <v>2055</v>
      </c>
      <c r="F121" t="s">
        <v>58</v>
      </c>
      <c r="G121">
        <f t="shared" si="22"/>
        <v>7.5</v>
      </c>
      <c r="H121" s="76" t="s">
        <v>114</v>
      </c>
      <c r="L121">
        <v>9.3302999999999994</v>
      </c>
    </row>
    <row r="122" spans="1:12">
      <c r="A122" s="75">
        <f t="shared" si="20"/>
        <v>2060</v>
      </c>
      <c r="B122" t="str">
        <f t="shared" si="21"/>
        <v>R12_NAM</v>
      </c>
      <c r="C122" t="s">
        <v>249</v>
      </c>
      <c r="D122" t="s">
        <v>17</v>
      </c>
      <c r="E122">
        <f t="shared" ref="E122:E169" si="23">A122</f>
        <v>2060</v>
      </c>
      <c r="F122" t="s">
        <v>58</v>
      </c>
      <c r="G122">
        <f t="shared" si="22"/>
        <v>8.5</v>
      </c>
      <c r="H122" s="76" t="s">
        <v>114</v>
      </c>
      <c r="L122">
        <v>9.8019999999999996</v>
      </c>
    </row>
    <row r="123" spans="1:12">
      <c r="A123" s="75">
        <f>A122+10</f>
        <v>2070</v>
      </c>
      <c r="B123" t="str">
        <f t="shared" si="21"/>
        <v>R12_NAM</v>
      </c>
      <c r="C123" t="s">
        <v>249</v>
      </c>
      <c r="D123" t="s">
        <v>17</v>
      </c>
      <c r="E123">
        <f t="shared" si="23"/>
        <v>2070</v>
      </c>
      <c r="F123" t="s">
        <v>58</v>
      </c>
      <c r="G123">
        <f t="shared" si="22"/>
        <v>9.5</v>
      </c>
      <c r="H123" s="76" t="s">
        <v>114</v>
      </c>
      <c r="L123">
        <v>9.8019999999999996</v>
      </c>
    </row>
    <row r="124" spans="1:12">
      <c r="A124" s="75">
        <f>A123+10</f>
        <v>2080</v>
      </c>
      <c r="B124" t="str">
        <f t="shared" si="21"/>
        <v>R12_NAM</v>
      </c>
      <c r="C124" t="s">
        <v>249</v>
      </c>
      <c r="D124" t="s">
        <v>17</v>
      </c>
      <c r="E124">
        <f t="shared" si="23"/>
        <v>2080</v>
      </c>
      <c r="F124" t="s">
        <v>58</v>
      </c>
      <c r="G124">
        <f t="shared" si="22"/>
        <v>10.5</v>
      </c>
      <c r="H124" s="76" t="s">
        <v>114</v>
      </c>
      <c r="L124">
        <v>9.8019999999999996</v>
      </c>
    </row>
    <row r="125" spans="1:12">
      <c r="A125" s="75">
        <f>A124+10</f>
        <v>2090</v>
      </c>
      <c r="B125" t="str">
        <f t="shared" si="21"/>
        <v>R12_NAM</v>
      </c>
      <c r="C125" t="s">
        <v>249</v>
      </c>
      <c r="D125" t="s">
        <v>17</v>
      </c>
      <c r="E125">
        <f t="shared" si="23"/>
        <v>2090</v>
      </c>
      <c r="F125" t="s">
        <v>58</v>
      </c>
      <c r="G125">
        <f t="shared" si="22"/>
        <v>11.5</v>
      </c>
      <c r="H125" s="76" t="s">
        <v>114</v>
      </c>
      <c r="L125">
        <v>9.8019999999999996</v>
      </c>
    </row>
    <row r="126" spans="1:12">
      <c r="A126" s="75">
        <f>A125+10</f>
        <v>2100</v>
      </c>
      <c r="B126" t="str">
        <f t="shared" si="21"/>
        <v>R12_NAM</v>
      </c>
      <c r="C126" t="s">
        <v>249</v>
      </c>
      <c r="D126" t="s">
        <v>17</v>
      </c>
      <c r="E126">
        <f t="shared" si="23"/>
        <v>2100</v>
      </c>
      <c r="F126" t="s">
        <v>58</v>
      </c>
      <c r="G126">
        <f t="shared" si="22"/>
        <v>12.5</v>
      </c>
      <c r="H126" s="76" t="s">
        <v>114</v>
      </c>
      <c r="L126">
        <v>9.8019999999999996</v>
      </c>
    </row>
    <row r="127" spans="1:12">
      <c r="A127" s="75">
        <f>A126+10</f>
        <v>2110</v>
      </c>
      <c r="B127" t="str">
        <f t="shared" si="21"/>
        <v>R12_NAM</v>
      </c>
      <c r="C127" t="s">
        <v>249</v>
      </c>
      <c r="D127" t="s">
        <v>17</v>
      </c>
      <c r="E127">
        <f t="shared" si="23"/>
        <v>2110</v>
      </c>
      <c r="F127" t="s">
        <v>58</v>
      </c>
      <c r="G127">
        <f t="shared" si="22"/>
        <v>13.5</v>
      </c>
      <c r="H127" s="76" t="s">
        <v>114</v>
      </c>
      <c r="L127">
        <v>9.8019999999999996</v>
      </c>
    </row>
    <row r="128" spans="1:12">
      <c r="A128" s="75">
        <v>2020</v>
      </c>
      <c r="B128" t="str">
        <f t="shared" si="21"/>
        <v>R12_NAM</v>
      </c>
      <c r="C128" t="s">
        <v>250</v>
      </c>
      <c r="D128" t="s">
        <v>17</v>
      </c>
      <c r="E128">
        <f t="shared" si="23"/>
        <v>2020</v>
      </c>
      <c r="F128" t="s">
        <v>58</v>
      </c>
      <c r="G128">
        <v>0.3</v>
      </c>
      <c r="H128" s="76" t="s">
        <v>114</v>
      </c>
      <c r="L128">
        <v>0.71307068681620867</v>
      </c>
    </row>
    <row r="129" spans="1:12">
      <c r="A129" s="75">
        <f t="shared" ref="A129:A136" si="24">A128+5</f>
        <v>2025</v>
      </c>
      <c r="B129" t="str">
        <f t="shared" si="21"/>
        <v>R12_NAM</v>
      </c>
      <c r="C129" t="s">
        <v>250</v>
      </c>
      <c r="D129" t="s">
        <v>17</v>
      </c>
      <c r="E129">
        <f t="shared" si="23"/>
        <v>2025</v>
      </c>
      <c r="F129" t="s">
        <v>58</v>
      </c>
      <c r="G129">
        <f>G128+1</f>
        <v>1.3</v>
      </c>
      <c r="H129" s="76" t="s">
        <v>114</v>
      </c>
      <c r="L129">
        <v>1.9191479337251223</v>
      </c>
    </row>
    <row r="130" spans="1:12">
      <c r="A130" s="75">
        <f t="shared" si="24"/>
        <v>2030</v>
      </c>
      <c r="B130" t="str">
        <f t="shared" si="21"/>
        <v>R12_NAM</v>
      </c>
      <c r="C130" t="s">
        <v>250</v>
      </c>
      <c r="D130" t="s">
        <v>17</v>
      </c>
      <c r="E130">
        <f t="shared" si="23"/>
        <v>2030</v>
      </c>
      <c r="F130" t="s">
        <v>58</v>
      </c>
      <c r="G130">
        <f t="shared" ref="G130:G141" si="25">G129+1</f>
        <v>2.2999999999999998</v>
      </c>
      <c r="H130" s="76" t="s">
        <v>114</v>
      </c>
      <c r="L130">
        <v>3.5536339427554968</v>
      </c>
    </row>
    <row r="131" spans="1:12">
      <c r="A131" s="75">
        <f t="shared" si="24"/>
        <v>2035</v>
      </c>
      <c r="B131" t="str">
        <f t="shared" si="21"/>
        <v>R12_NAM</v>
      </c>
      <c r="C131" t="s">
        <v>250</v>
      </c>
      <c r="D131" t="s">
        <v>17</v>
      </c>
      <c r="E131">
        <f t="shared" si="23"/>
        <v>2035</v>
      </c>
      <c r="F131" t="s">
        <v>58</v>
      </c>
      <c r="G131">
        <f t="shared" si="25"/>
        <v>3.3</v>
      </c>
      <c r="H131" s="76" t="s">
        <v>114</v>
      </c>
      <c r="L131">
        <v>4.9204383366391777</v>
      </c>
    </row>
    <row r="132" spans="1:12">
      <c r="A132" s="75">
        <f t="shared" si="24"/>
        <v>2040</v>
      </c>
      <c r="B132" t="str">
        <f t="shared" si="21"/>
        <v>R12_NAM</v>
      </c>
      <c r="C132" t="s">
        <v>250</v>
      </c>
      <c r="D132" t="s">
        <v>17</v>
      </c>
      <c r="E132">
        <f t="shared" si="23"/>
        <v>2040</v>
      </c>
      <c r="F132" t="s">
        <v>58</v>
      </c>
      <c r="G132">
        <f t="shared" si="25"/>
        <v>4.3</v>
      </c>
      <c r="H132" s="76" t="s">
        <v>114</v>
      </c>
      <c r="L132">
        <v>5.6382137810895188</v>
      </c>
    </row>
    <row r="133" spans="1:12">
      <c r="A133" s="75">
        <f t="shared" si="24"/>
        <v>2045</v>
      </c>
      <c r="B133" t="str">
        <f t="shared" si="21"/>
        <v>R12_NAM</v>
      </c>
      <c r="C133" t="s">
        <v>250</v>
      </c>
      <c r="D133" t="s">
        <v>17</v>
      </c>
      <c r="E133">
        <f t="shared" si="23"/>
        <v>2045</v>
      </c>
      <c r="F133" t="s">
        <v>58</v>
      </c>
      <c r="G133">
        <f t="shared" si="25"/>
        <v>5.3</v>
      </c>
      <c r="H133" s="76" t="s">
        <v>114</v>
      </c>
      <c r="L133">
        <v>7.9299823532878193</v>
      </c>
    </row>
    <row r="134" spans="1:12">
      <c r="A134" s="75">
        <f t="shared" si="24"/>
        <v>2050</v>
      </c>
      <c r="B134" t="str">
        <f t="shared" si="21"/>
        <v>R12_NAM</v>
      </c>
      <c r="C134" t="s">
        <v>250</v>
      </c>
      <c r="D134" t="s">
        <v>17</v>
      </c>
      <c r="E134">
        <f t="shared" si="23"/>
        <v>2050</v>
      </c>
      <c r="F134" t="s">
        <v>58</v>
      </c>
      <c r="G134">
        <f t="shared" si="25"/>
        <v>6.3</v>
      </c>
      <c r="H134" s="76" t="s">
        <v>114</v>
      </c>
      <c r="L134">
        <v>8.8697686987664355</v>
      </c>
    </row>
    <row r="135" spans="1:12">
      <c r="A135" s="75">
        <f t="shared" si="24"/>
        <v>2055</v>
      </c>
      <c r="B135" t="str">
        <f t="shared" si="21"/>
        <v>R12_NAM</v>
      </c>
      <c r="C135" t="s">
        <v>250</v>
      </c>
      <c r="D135" t="s">
        <v>17</v>
      </c>
      <c r="E135">
        <f t="shared" si="23"/>
        <v>2055</v>
      </c>
      <c r="F135" t="s">
        <v>58</v>
      </c>
      <c r="G135">
        <f t="shared" si="25"/>
        <v>7.3</v>
      </c>
      <c r="H135" s="76" t="s">
        <v>114</v>
      </c>
      <c r="L135">
        <v>9.3302744244813969</v>
      </c>
    </row>
    <row r="136" spans="1:12">
      <c r="A136" s="75">
        <f t="shared" si="24"/>
        <v>2060</v>
      </c>
      <c r="B136" t="str">
        <f t="shared" si="21"/>
        <v>R12_NAM</v>
      </c>
      <c r="C136" t="s">
        <v>250</v>
      </c>
      <c r="D136" t="s">
        <v>17</v>
      </c>
      <c r="E136">
        <f t="shared" si="23"/>
        <v>2060</v>
      </c>
      <c r="F136" t="s">
        <v>58</v>
      </c>
      <c r="G136">
        <f t="shared" si="25"/>
        <v>8.3000000000000007</v>
      </c>
      <c r="H136" s="76" t="s">
        <v>114</v>
      </c>
      <c r="L136">
        <v>9.8019697923151483</v>
      </c>
    </row>
    <row r="137" spans="1:12">
      <c r="A137" s="75">
        <f>A136+10</f>
        <v>2070</v>
      </c>
      <c r="B137" t="str">
        <f t="shared" si="21"/>
        <v>R12_NAM</v>
      </c>
      <c r="C137" t="s">
        <v>250</v>
      </c>
      <c r="D137" t="s">
        <v>17</v>
      </c>
      <c r="E137">
        <f t="shared" si="23"/>
        <v>2070</v>
      </c>
      <c r="F137" t="s">
        <v>58</v>
      </c>
      <c r="G137">
        <f t="shared" si="25"/>
        <v>9.3000000000000007</v>
      </c>
      <c r="H137" s="76" t="s">
        <v>114</v>
      </c>
      <c r="L137">
        <v>9.8019697923151483</v>
      </c>
    </row>
    <row r="138" spans="1:12">
      <c r="A138" s="75">
        <f>A137+10</f>
        <v>2080</v>
      </c>
      <c r="B138" t="str">
        <f t="shared" si="21"/>
        <v>R12_NAM</v>
      </c>
      <c r="C138" t="s">
        <v>250</v>
      </c>
      <c r="D138" t="s">
        <v>17</v>
      </c>
      <c r="E138">
        <f t="shared" si="23"/>
        <v>2080</v>
      </c>
      <c r="F138" t="s">
        <v>58</v>
      </c>
      <c r="G138">
        <f t="shared" si="25"/>
        <v>10.3</v>
      </c>
      <c r="H138" s="76" t="s">
        <v>114</v>
      </c>
      <c r="L138">
        <v>9.8019697923151483</v>
      </c>
    </row>
    <row r="139" spans="1:12">
      <c r="A139" s="75">
        <f>A138+10</f>
        <v>2090</v>
      </c>
      <c r="B139" t="str">
        <f t="shared" si="21"/>
        <v>R12_NAM</v>
      </c>
      <c r="C139" t="s">
        <v>250</v>
      </c>
      <c r="D139" t="s">
        <v>17</v>
      </c>
      <c r="E139">
        <f t="shared" si="23"/>
        <v>2090</v>
      </c>
      <c r="F139" t="s">
        <v>58</v>
      </c>
      <c r="G139">
        <f t="shared" si="25"/>
        <v>11.3</v>
      </c>
      <c r="H139" s="76" t="s">
        <v>114</v>
      </c>
      <c r="L139">
        <v>9.8019697923151483</v>
      </c>
    </row>
    <row r="140" spans="1:12">
      <c r="A140" s="75">
        <f>A139+10</f>
        <v>2100</v>
      </c>
      <c r="B140" t="str">
        <f t="shared" si="21"/>
        <v>R12_NAM</v>
      </c>
      <c r="C140" t="s">
        <v>250</v>
      </c>
      <c r="D140" t="s">
        <v>17</v>
      </c>
      <c r="E140">
        <f t="shared" si="23"/>
        <v>2100</v>
      </c>
      <c r="F140" t="s">
        <v>58</v>
      </c>
      <c r="G140">
        <f t="shared" si="25"/>
        <v>12.3</v>
      </c>
      <c r="H140" s="76" t="s">
        <v>114</v>
      </c>
      <c r="L140">
        <v>9.8019697923151483</v>
      </c>
    </row>
    <row r="141" spans="1:12">
      <c r="A141" s="75">
        <f>A140+10</f>
        <v>2110</v>
      </c>
      <c r="B141" t="str">
        <f t="shared" si="21"/>
        <v>R12_NAM</v>
      </c>
      <c r="C141" t="s">
        <v>250</v>
      </c>
      <c r="D141" t="s">
        <v>17</v>
      </c>
      <c r="E141">
        <f t="shared" si="23"/>
        <v>2110</v>
      </c>
      <c r="F141" t="s">
        <v>58</v>
      </c>
      <c r="G141">
        <f t="shared" si="25"/>
        <v>13.3</v>
      </c>
      <c r="H141" s="76" t="s">
        <v>114</v>
      </c>
      <c r="L141">
        <v>9.8019697923151483</v>
      </c>
    </row>
    <row r="142" spans="1:12">
      <c r="A142" s="75">
        <v>2020</v>
      </c>
      <c r="B142" t="str">
        <f t="shared" si="21"/>
        <v>R12_NAM</v>
      </c>
      <c r="C142" t="s">
        <v>251</v>
      </c>
      <c r="D142" t="s">
        <v>17</v>
      </c>
      <c r="E142">
        <f t="shared" si="23"/>
        <v>2020</v>
      </c>
      <c r="F142" t="s">
        <v>58</v>
      </c>
      <c r="G142">
        <v>0.1</v>
      </c>
      <c r="H142" s="76" t="s">
        <v>114</v>
      </c>
      <c r="L142">
        <v>0.4753804578774723</v>
      </c>
    </row>
    <row r="143" spans="1:12">
      <c r="A143" s="75">
        <f t="shared" ref="A143:A150" si="26">A142+5</f>
        <v>2025</v>
      </c>
      <c r="B143" t="str">
        <f t="shared" si="21"/>
        <v>R12_NAM</v>
      </c>
      <c r="C143" t="s">
        <v>251</v>
      </c>
      <c r="D143" t="s">
        <v>17</v>
      </c>
      <c r="E143">
        <f t="shared" si="23"/>
        <v>2025</v>
      </c>
      <c r="F143" t="s">
        <v>58</v>
      </c>
      <c r="G143">
        <f>G142+1</f>
        <v>1.1000000000000001</v>
      </c>
      <c r="H143" s="76" t="s">
        <v>114</v>
      </c>
      <c r="L143">
        <v>2.5360169124224834</v>
      </c>
    </row>
    <row r="144" spans="1:12">
      <c r="A144" s="75">
        <f t="shared" si="26"/>
        <v>2030</v>
      </c>
      <c r="B144" t="str">
        <f t="shared" si="21"/>
        <v>R12_NAM</v>
      </c>
      <c r="C144" t="s">
        <v>251</v>
      </c>
      <c r="D144" t="s">
        <v>17</v>
      </c>
      <c r="E144">
        <f t="shared" si="23"/>
        <v>2030</v>
      </c>
      <c r="F144" t="s">
        <v>58</v>
      </c>
      <c r="G144">
        <f t="shared" ref="G144:G155" si="27">G143+1</f>
        <v>2.1</v>
      </c>
      <c r="H144" s="76" t="s">
        <v>114</v>
      </c>
      <c r="L144">
        <v>7.3806243426460334</v>
      </c>
    </row>
    <row r="145" spans="1:12">
      <c r="A145" s="75">
        <f t="shared" si="26"/>
        <v>2035</v>
      </c>
      <c r="B145" t="str">
        <f t="shared" si="21"/>
        <v>R12_NAM</v>
      </c>
      <c r="C145" t="s">
        <v>251</v>
      </c>
      <c r="D145" t="s">
        <v>17</v>
      </c>
      <c r="E145">
        <f t="shared" si="23"/>
        <v>2035</v>
      </c>
      <c r="F145" t="s">
        <v>58</v>
      </c>
      <c r="G145">
        <f t="shared" si="27"/>
        <v>3.1</v>
      </c>
      <c r="H145" s="76" t="s">
        <v>114</v>
      </c>
      <c r="L145">
        <v>17.713578011901042</v>
      </c>
    </row>
    <row r="146" spans="1:12">
      <c r="A146" s="75">
        <f t="shared" si="26"/>
        <v>2040</v>
      </c>
      <c r="B146" t="str">
        <f t="shared" si="21"/>
        <v>R12_NAM</v>
      </c>
      <c r="C146" t="s">
        <v>251</v>
      </c>
      <c r="D146" t="s">
        <v>17</v>
      </c>
      <c r="E146">
        <f t="shared" si="23"/>
        <v>2040</v>
      </c>
      <c r="F146" t="s">
        <v>58</v>
      </c>
      <c r="G146">
        <f t="shared" si="27"/>
        <v>4.0999999999999996</v>
      </c>
      <c r="H146" s="76" t="s">
        <v>114</v>
      </c>
      <c r="L146">
        <v>36.245660021289758</v>
      </c>
    </row>
    <row r="147" spans="1:12">
      <c r="A147" s="75">
        <f t="shared" si="26"/>
        <v>2045</v>
      </c>
      <c r="B147" t="str">
        <f t="shared" si="21"/>
        <v>R12_NAM</v>
      </c>
      <c r="C147" t="s">
        <v>251</v>
      </c>
      <c r="D147" t="s">
        <v>17</v>
      </c>
      <c r="E147">
        <f t="shared" si="23"/>
        <v>2045</v>
      </c>
      <c r="F147" t="s">
        <v>58</v>
      </c>
      <c r="G147">
        <f t="shared" si="27"/>
        <v>5.0999999999999996</v>
      </c>
      <c r="H147" s="76" t="s">
        <v>114</v>
      </c>
      <c r="L147">
        <v>42.482048321184728</v>
      </c>
    </row>
    <row r="148" spans="1:12">
      <c r="A148" s="75">
        <f t="shared" si="26"/>
        <v>2050</v>
      </c>
      <c r="B148" t="str">
        <f t="shared" si="21"/>
        <v>R12_NAM</v>
      </c>
      <c r="C148" t="s">
        <v>251</v>
      </c>
      <c r="D148" t="s">
        <v>17</v>
      </c>
      <c r="E148">
        <f t="shared" si="23"/>
        <v>2050</v>
      </c>
      <c r="F148" t="s">
        <v>58</v>
      </c>
      <c r="G148">
        <f t="shared" si="27"/>
        <v>6.1</v>
      </c>
      <c r="H148" s="76" t="s">
        <v>114</v>
      </c>
      <c r="L148">
        <v>38.013294423284727</v>
      </c>
    </row>
    <row r="149" spans="1:12">
      <c r="A149" s="75">
        <f t="shared" si="26"/>
        <v>2055</v>
      </c>
      <c r="B149" t="str">
        <f t="shared" si="21"/>
        <v>R12_NAM</v>
      </c>
      <c r="C149" t="s">
        <v>251</v>
      </c>
      <c r="D149" t="s">
        <v>17</v>
      </c>
      <c r="E149">
        <f t="shared" si="23"/>
        <v>2055</v>
      </c>
      <c r="F149" t="s">
        <v>58</v>
      </c>
      <c r="G149">
        <f t="shared" si="27"/>
        <v>7.1</v>
      </c>
      <c r="H149" s="76" t="s">
        <v>114</v>
      </c>
      <c r="L149">
        <v>39.986890390634557</v>
      </c>
    </row>
    <row r="150" spans="1:12">
      <c r="A150" s="75">
        <f t="shared" si="26"/>
        <v>2060</v>
      </c>
      <c r="B150" t="str">
        <f t="shared" si="21"/>
        <v>R12_NAM</v>
      </c>
      <c r="C150" t="s">
        <v>251</v>
      </c>
      <c r="D150" t="s">
        <v>17</v>
      </c>
      <c r="E150">
        <f t="shared" si="23"/>
        <v>2060</v>
      </c>
      <c r="F150" t="s">
        <v>58</v>
      </c>
      <c r="G150">
        <f t="shared" si="27"/>
        <v>8.1</v>
      </c>
      <c r="H150" s="76" t="s">
        <v>114</v>
      </c>
      <c r="L150">
        <v>42.008441967064911</v>
      </c>
    </row>
    <row r="151" spans="1:12">
      <c r="A151" s="75">
        <f>A150+10</f>
        <v>2070</v>
      </c>
      <c r="B151" t="str">
        <f t="shared" si="21"/>
        <v>R12_NAM</v>
      </c>
      <c r="C151" t="s">
        <v>251</v>
      </c>
      <c r="D151" t="s">
        <v>17</v>
      </c>
      <c r="E151">
        <f t="shared" si="23"/>
        <v>2070</v>
      </c>
      <c r="F151" t="s">
        <v>58</v>
      </c>
      <c r="G151">
        <f t="shared" si="27"/>
        <v>9.1</v>
      </c>
      <c r="H151" s="76" t="s">
        <v>114</v>
      </c>
      <c r="L151">
        <v>42.008441967064911</v>
      </c>
    </row>
    <row r="152" spans="1:12">
      <c r="A152" s="75">
        <f>A151+10</f>
        <v>2080</v>
      </c>
      <c r="B152" t="str">
        <f t="shared" si="21"/>
        <v>R12_NAM</v>
      </c>
      <c r="C152" t="s">
        <v>251</v>
      </c>
      <c r="D152" t="s">
        <v>17</v>
      </c>
      <c r="E152">
        <f t="shared" si="23"/>
        <v>2080</v>
      </c>
      <c r="F152" t="s">
        <v>58</v>
      </c>
      <c r="G152">
        <f t="shared" si="27"/>
        <v>10.1</v>
      </c>
      <c r="H152" s="76" t="s">
        <v>114</v>
      </c>
      <c r="L152">
        <v>42.008441967064911</v>
      </c>
    </row>
    <row r="153" spans="1:12">
      <c r="A153" s="75">
        <f>A152+10</f>
        <v>2090</v>
      </c>
      <c r="B153" t="str">
        <f t="shared" si="21"/>
        <v>R12_NAM</v>
      </c>
      <c r="C153" t="s">
        <v>251</v>
      </c>
      <c r="D153" t="s">
        <v>17</v>
      </c>
      <c r="E153">
        <f t="shared" si="23"/>
        <v>2090</v>
      </c>
      <c r="F153" t="s">
        <v>58</v>
      </c>
      <c r="G153">
        <f t="shared" si="27"/>
        <v>11.1</v>
      </c>
      <c r="H153" s="76" t="s">
        <v>114</v>
      </c>
      <c r="L153">
        <v>42.008441967064911</v>
      </c>
    </row>
    <row r="154" spans="1:12">
      <c r="A154" s="75">
        <f>A153+10</f>
        <v>2100</v>
      </c>
      <c r="B154" t="str">
        <f t="shared" si="21"/>
        <v>R12_NAM</v>
      </c>
      <c r="C154" t="s">
        <v>251</v>
      </c>
      <c r="D154" t="s">
        <v>17</v>
      </c>
      <c r="E154">
        <f t="shared" si="23"/>
        <v>2100</v>
      </c>
      <c r="F154" t="s">
        <v>58</v>
      </c>
      <c r="G154">
        <f t="shared" si="27"/>
        <v>12.1</v>
      </c>
      <c r="H154" s="76" t="s">
        <v>114</v>
      </c>
      <c r="L154">
        <v>42.008441967064911</v>
      </c>
    </row>
    <row r="155" spans="1:12">
      <c r="A155" s="75">
        <f>A154+10</f>
        <v>2110</v>
      </c>
      <c r="B155" t="str">
        <f t="shared" si="21"/>
        <v>R12_NAM</v>
      </c>
      <c r="C155" t="s">
        <v>251</v>
      </c>
      <c r="D155" t="s">
        <v>17</v>
      </c>
      <c r="E155">
        <f t="shared" si="23"/>
        <v>2110</v>
      </c>
      <c r="F155" t="s">
        <v>58</v>
      </c>
      <c r="G155">
        <f t="shared" si="27"/>
        <v>13.1</v>
      </c>
      <c r="H155" s="76" t="s">
        <v>114</v>
      </c>
      <c r="L155">
        <v>42.008441967064911</v>
      </c>
    </row>
    <row r="156" spans="1:12">
      <c r="A156" s="75">
        <v>2020</v>
      </c>
      <c r="B156" t="str">
        <f t="shared" si="21"/>
        <v>R12_NAM</v>
      </c>
      <c r="C156" t="s">
        <v>252</v>
      </c>
      <c r="D156" t="s">
        <v>17</v>
      </c>
      <c r="E156">
        <f t="shared" si="23"/>
        <v>2020</v>
      </c>
      <c r="F156" t="s">
        <v>58</v>
      </c>
      <c r="G156">
        <v>0.2</v>
      </c>
      <c r="H156" s="76" t="s">
        <v>114</v>
      </c>
      <c r="L156">
        <v>1.0933750531181863</v>
      </c>
    </row>
    <row r="157" spans="1:12">
      <c r="A157" s="75">
        <f t="shared" ref="A157:A164" si="28">A156+5</f>
        <v>2025</v>
      </c>
      <c r="B157" t="str">
        <f t="shared" si="21"/>
        <v>R12_NAM</v>
      </c>
      <c r="C157" t="s">
        <v>252</v>
      </c>
      <c r="D157" t="s">
        <v>17</v>
      </c>
      <c r="E157">
        <f t="shared" si="23"/>
        <v>2025</v>
      </c>
      <c r="F157" t="s">
        <v>58</v>
      </c>
      <c r="G157">
        <f>G156+1</f>
        <v>1.2</v>
      </c>
      <c r="H157" s="76" t="s">
        <v>114</v>
      </c>
      <c r="L157">
        <v>3.4270498816520045</v>
      </c>
    </row>
    <row r="158" spans="1:12">
      <c r="A158" s="75">
        <f t="shared" si="28"/>
        <v>2030</v>
      </c>
      <c r="B158" t="str">
        <f t="shared" si="21"/>
        <v>R12_NAM</v>
      </c>
      <c r="C158" t="s">
        <v>252</v>
      </c>
      <c r="D158" t="s">
        <v>17</v>
      </c>
      <c r="E158">
        <f t="shared" si="23"/>
        <v>2030</v>
      </c>
      <c r="F158" t="s">
        <v>58</v>
      </c>
      <c r="G158">
        <f t="shared" ref="G158:G169" si="29">G157+1</f>
        <v>2.2000000000000002</v>
      </c>
      <c r="H158" s="76" t="s">
        <v>114</v>
      </c>
      <c r="L158">
        <v>7.3806243426460334</v>
      </c>
    </row>
    <row r="159" spans="1:12">
      <c r="A159" s="75">
        <f t="shared" si="28"/>
        <v>2035</v>
      </c>
      <c r="B159" t="str">
        <f t="shared" si="21"/>
        <v>R12_NAM</v>
      </c>
      <c r="C159" t="s">
        <v>252</v>
      </c>
      <c r="D159" t="s">
        <v>17</v>
      </c>
      <c r="E159">
        <f t="shared" si="23"/>
        <v>2035</v>
      </c>
      <c r="F159" t="s">
        <v>58</v>
      </c>
      <c r="G159">
        <f t="shared" si="29"/>
        <v>3.2</v>
      </c>
      <c r="H159" s="76" t="s">
        <v>114</v>
      </c>
      <c r="L159">
        <v>10.578942423774233</v>
      </c>
    </row>
    <row r="160" spans="1:12">
      <c r="A160" s="75">
        <f t="shared" si="28"/>
        <v>2040</v>
      </c>
      <c r="B160" t="str">
        <f t="shared" si="21"/>
        <v>R12_NAM</v>
      </c>
      <c r="C160" t="s">
        <v>252</v>
      </c>
      <c r="D160" t="s">
        <v>17</v>
      </c>
      <c r="E160">
        <f t="shared" si="23"/>
        <v>2040</v>
      </c>
      <c r="F160" t="s">
        <v>58</v>
      </c>
      <c r="G160">
        <f t="shared" si="29"/>
        <v>4.2</v>
      </c>
      <c r="H160" s="76" t="s">
        <v>114</v>
      </c>
      <c r="L160">
        <v>12.887345785347472</v>
      </c>
    </row>
    <row r="161" spans="1:12">
      <c r="A161" s="75">
        <f t="shared" si="28"/>
        <v>2045</v>
      </c>
      <c r="B161" t="str">
        <f t="shared" si="21"/>
        <v>R12_NAM</v>
      </c>
      <c r="C161" t="s">
        <v>252</v>
      </c>
      <c r="D161" t="s">
        <v>17</v>
      </c>
      <c r="E161">
        <f t="shared" si="23"/>
        <v>2045</v>
      </c>
      <c r="F161" t="s">
        <v>58</v>
      </c>
      <c r="G161">
        <f t="shared" si="29"/>
        <v>5.2</v>
      </c>
      <c r="H161" s="76" t="s">
        <v>114</v>
      </c>
      <c r="L161">
        <v>18.125673950372153</v>
      </c>
    </row>
    <row r="162" spans="1:12">
      <c r="A162" s="75">
        <f t="shared" si="28"/>
        <v>2050</v>
      </c>
      <c r="B162" t="str">
        <f t="shared" si="21"/>
        <v>R12_NAM</v>
      </c>
      <c r="C162" t="s">
        <v>252</v>
      </c>
      <c r="D162" t="s">
        <v>17</v>
      </c>
      <c r="E162">
        <f t="shared" si="23"/>
        <v>2050</v>
      </c>
      <c r="F162" t="s">
        <v>58</v>
      </c>
      <c r="G162">
        <f t="shared" si="29"/>
        <v>6.2</v>
      </c>
      <c r="H162" s="76" t="s">
        <v>114</v>
      </c>
      <c r="L162">
        <v>20.273757025751856</v>
      </c>
    </row>
    <row r="163" spans="1:12">
      <c r="A163" s="75">
        <f t="shared" si="28"/>
        <v>2055</v>
      </c>
      <c r="B163" t="str">
        <f t="shared" si="21"/>
        <v>R12_NAM</v>
      </c>
      <c r="C163" t="s">
        <v>252</v>
      </c>
      <c r="D163" t="s">
        <v>17</v>
      </c>
      <c r="E163">
        <f t="shared" si="23"/>
        <v>2055</v>
      </c>
      <c r="F163" t="s">
        <v>58</v>
      </c>
      <c r="G163">
        <f t="shared" si="29"/>
        <v>7.2</v>
      </c>
      <c r="H163" s="76" t="s">
        <v>114</v>
      </c>
      <c r="L163">
        <v>21.326341541671763</v>
      </c>
    </row>
    <row r="164" spans="1:12">
      <c r="A164" s="75">
        <f t="shared" si="28"/>
        <v>2060</v>
      </c>
      <c r="B164" t="str">
        <f t="shared" si="21"/>
        <v>R12_NAM</v>
      </c>
      <c r="C164" t="s">
        <v>252</v>
      </c>
      <c r="D164" t="s">
        <v>17</v>
      </c>
      <c r="E164">
        <f t="shared" si="23"/>
        <v>2060</v>
      </c>
      <c r="F164" t="s">
        <v>58</v>
      </c>
      <c r="G164">
        <f t="shared" si="29"/>
        <v>8.1999999999999993</v>
      </c>
      <c r="H164" s="76" t="s">
        <v>114</v>
      </c>
      <c r="L164">
        <v>22.404502382434622</v>
      </c>
    </row>
    <row r="165" spans="1:12">
      <c r="A165" s="75">
        <f>A164+10</f>
        <v>2070</v>
      </c>
      <c r="B165" t="str">
        <f t="shared" si="21"/>
        <v>R12_NAM</v>
      </c>
      <c r="C165" t="s">
        <v>252</v>
      </c>
      <c r="D165" t="s">
        <v>17</v>
      </c>
      <c r="E165">
        <f t="shared" si="23"/>
        <v>2070</v>
      </c>
      <c r="F165" t="s">
        <v>58</v>
      </c>
      <c r="G165">
        <f t="shared" si="29"/>
        <v>9.1999999999999993</v>
      </c>
      <c r="H165" s="76" t="s">
        <v>114</v>
      </c>
      <c r="L165">
        <v>22.404502382434622</v>
      </c>
    </row>
    <row r="166" spans="1:12">
      <c r="A166" s="75">
        <f>A165+10</f>
        <v>2080</v>
      </c>
      <c r="B166" t="str">
        <f t="shared" si="21"/>
        <v>R12_NAM</v>
      </c>
      <c r="C166" t="s">
        <v>252</v>
      </c>
      <c r="D166" t="s">
        <v>17</v>
      </c>
      <c r="E166">
        <f t="shared" si="23"/>
        <v>2080</v>
      </c>
      <c r="F166" t="s">
        <v>58</v>
      </c>
      <c r="G166">
        <f t="shared" si="29"/>
        <v>10.199999999999999</v>
      </c>
      <c r="H166" s="76" t="s">
        <v>114</v>
      </c>
      <c r="L166">
        <v>22.404502382434622</v>
      </c>
    </row>
    <row r="167" spans="1:12">
      <c r="A167" s="75">
        <f>A166+10</f>
        <v>2090</v>
      </c>
      <c r="B167" t="str">
        <f t="shared" si="21"/>
        <v>R12_NAM</v>
      </c>
      <c r="C167" t="s">
        <v>252</v>
      </c>
      <c r="D167" t="s">
        <v>17</v>
      </c>
      <c r="E167">
        <f t="shared" si="23"/>
        <v>2090</v>
      </c>
      <c r="F167" t="s">
        <v>58</v>
      </c>
      <c r="G167">
        <f t="shared" si="29"/>
        <v>11.2</v>
      </c>
      <c r="H167" s="76" t="s">
        <v>114</v>
      </c>
      <c r="L167">
        <v>22.404502382434622</v>
      </c>
    </row>
    <row r="168" spans="1:12">
      <c r="A168" s="75">
        <f>A167+10</f>
        <v>2100</v>
      </c>
      <c r="B168" t="str">
        <f t="shared" si="21"/>
        <v>R12_NAM</v>
      </c>
      <c r="C168" t="s">
        <v>252</v>
      </c>
      <c r="D168" t="s">
        <v>17</v>
      </c>
      <c r="E168">
        <f t="shared" si="23"/>
        <v>2100</v>
      </c>
      <c r="F168" t="s">
        <v>58</v>
      </c>
      <c r="G168">
        <f t="shared" si="29"/>
        <v>12.2</v>
      </c>
      <c r="H168" s="76" t="s">
        <v>114</v>
      </c>
      <c r="L168">
        <v>22.404502382434622</v>
      </c>
    </row>
    <row r="169" spans="1:12" ht="15.75" thickBot="1">
      <c r="A169" s="77">
        <f>A168+10</f>
        <v>2110</v>
      </c>
      <c r="B169" s="78" t="str">
        <f t="shared" si="21"/>
        <v>R12_NAM</v>
      </c>
      <c r="C169" s="78" t="s">
        <v>252</v>
      </c>
      <c r="D169" s="78" t="s">
        <v>17</v>
      </c>
      <c r="E169" s="78">
        <f t="shared" si="23"/>
        <v>2110</v>
      </c>
      <c r="F169" s="78" t="s">
        <v>58</v>
      </c>
      <c r="G169">
        <f t="shared" si="29"/>
        <v>13.2</v>
      </c>
      <c r="H169" s="79" t="s">
        <v>114</v>
      </c>
      <c r="L169">
        <v>22.404502382434622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ADDA-17F5-4657-A54B-896C11D76600}">
  <dimension ref="A2:BC58"/>
  <sheetViews>
    <sheetView workbookViewId="0"/>
  </sheetViews>
  <sheetFormatPr defaultRowHeight="15"/>
  <cols>
    <col min="2" max="5" width="0" hidden="1" customWidth="1"/>
    <col min="7" max="10" width="0" hidden="1" customWidth="1"/>
    <col min="12" max="15" width="0" hidden="1" customWidth="1"/>
    <col min="17" max="20" width="0" hidden="1" customWidth="1"/>
    <col min="22" max="25" width="0" hidden="1" customWidth="1"/>
    <col min="27" max="30" width="0" hidden="1" customWidth="1"/>
    <col min="32" max="35" width="0" hidden="1" customWidth="1"/>
    <col min="37" max="40" width="0" hidden="1" customWidth="1"/>
    <col min="42" max="45" width="0" hidden="1" customWidth="1"/>
  </cols>
  <sheetData>
    <row r="2" spans="1:55">
      <c r="A2" t="s">
        <v>253</v>
      </c>
      <c r="B2" s="69">
        <v>2016</v>
      </c>
      <c r="C2" s="69">
        <v>2017</v>
      </c>
      <c r="D2" s="69">
        <v>2018</v>
      </c>
      <c r="E2" s="69">
        <v>2019</v>
      </c>
      <c r="F2" s="69">
        <v>2020</v>
      </c>
      <c r="G2" s="69">
        <v>2021</v>
      </c>
      <c r="H2" s="69">
        <v>2022</v>
      </c>
      <c r="I2" s="69">
        <v>2023</v>
      </c>
      <c r="J2" s="69">
        <v>2024</v>
      </c>
      <c r="K2" s="69">
        <v>2025</v>
      </c>
      <c r="L2" s="69">
        <v>2026</v>
      </c>
      <c r="M2" s="69">
        <v>2027</v>
      </c>
      <c r="N2" s="69">
        <v>2028</v>
      </c>
      <c r="O2" s="69">
        <v>2029</v>
      </c>
      <c r="P2" s="69">
        <v>2030</v>
      </c>
      <c r="Q2" s="69">
        <v>2031</v>
      </c>
      <c r="R2" s="69">
        <v>2032</v>
      </c>
      <c r="S2" s="69">
        <v>2033</v>
      </c>
      <c r="T2" s="69">
        <v>2034</v>
      </c>
      <c r="U2" s="69">
        <v>2035</v>
      </c>
      <c r="V2" s="69">
        <v>2036</v>
      </c>
      <c r="W2" s="69">
        <v>2037</v>
      </c>
      <c r="X2" s="69">
        <v>2038</v>
      </c>
      <c r="Y2" s="69">
        <v>2039</v>
      </c>
      <c r="Z2" s="69">
        <v>2040</v>
      </c>
      <c r="AA2" s="69">
        <v>2041</v>
      </c>
      <c r="AB2" s="69">
        <v>2042</v>
      </c>
      <c r="AC2" s="69">
        <v>2043</v>
      </c>
      <c r="AD2" s="69">
        <v>2044</v>
      </c>
      <c r="AE2" s="69">
        <v>2045</v>
      </c>
      <c r="AF2" s="69">
        <v>2046</v>
      </c>
      <c r="AG2" s="69">
        <v>2047</v>
      </c>
      <c r="AH2" s="69">
        <v>2048</v>
      </c>
      <c r="AI2" s="69">
        <v>2049</v>
      </c>
      <c r="AJ2" s="69">
        <v>2050</v>
      </c>
      <c r="AK2" s="69">
        <v>2051</v>
      </c>
      <c r="AL2" s="69">
        <v>2052</v>
      </c>
      <c r="AM2" s="69">
        <v>2053</v>
      </c>
      <c r="AN2" s="69">
        <v>2054</v>
      </c>
      <c r="AO2" s="69">
        <v>2055</v>
      </c>
      <c r="AP2" s="69">
        <v>2056</v>
      </c>
      <c r="AQ2" s="69">
        <v>2057</v>
      </c>
      <c r="AR2" s="69">
        <v>2058</v>
      </c>
      <c r="AS2" s="69">
        <v>2059</v>
      </c>
      <c r="AT2" s="69">
        <v>2060</v>
      </c>
      <c r="AV2" t="s">
        <v>254</v>
      </c>
      <c r="AW2" t="s">
        <v>245</v>
      </c>
      <c r="AX2" t="s">
        <v>246</v>
      </c>
      <c r="AY2" t="s">
        <v>247</v>
      </c>
      <c r="AZ2" t="s">
        <v>58</v>
      </c>
      <c r="BA2" t="s">
        <v>255</v>
      </c>
      <c r="BB2" t="s">
        <v>115</v>
      </c>
      <c r="BC2" t="s">
        <v>248</v>
      </c>
    </row>
    <row r="3" spans="1:55">
      <c r="A3" t="s">
        <v>224</v>
      </c>
      <c r="B3" s="7">
        <v>20.986076318887143</v>
      </c>
      <c r="C3" s="7">
        <v>29.353694640325791</v>
      </c>
      <c r="D3" s="7">
        <v>39.551007284228554</v>
      </c>
      <c r="E3" s="7">
        <v>54.00070914163507</v>
      </c>
      <c r="F3" s="7">
        <v>71.307068681620862</v>
      </c>
      <c r="G3" s="7">
        <v>91.090980468329164</v>
      </c>
      <c r="H3" s="7">
        <v>112.84810026533509</v>
      </c>
      <c r="I3" s="7">
        <v>137.13201029462411</v>
      </c>
      <c r="J3" s="7">
        <v>163.20958000461371</v>
      </c>
      <c r="K3" s="7">
        <v>191.91479337251224</v>
      </c>
      <c r="L3" s="7">
        <v>220.91001591598859</v>
      </c>
      <c r="M3" s="7">
        <v>252.16254841095662</v>
      </c>
      <c r="N3" s="7">
        <v>284.15114535212035</v>
      </c>
      <c r="O3" s="7">
        <v>318.10714657459937</v>
      </c>
      <c r="P3" s="7">
        <v>355.36339427554969</v>
      </c>
      <c r="Q3" s="7">
        <v>383.84083238013068</v>
      </c>
      <c r="R3" s="7">
        <v>410.83098548092624</v>
      </c>
      <c r="S3" s="7">
        <v>441.11400719206324</v>
      </c>
      <c r="T3" s="7">
        <v>467.36122487772707</v>
      </c>
      <c r="U3" s="7">
        <v>492.04383366391778</v>
      </c>
      <c r="V3" s="7">
        <v>510.78888119818021</v>
      </c>
      <c r="W3" s="7">
        <v>529.85329147176185</v>
      </c>
      <c r="X3" s="7">
        <v>545.01592347273424</v>
      </c>
      <c r="Y3" s="7">
        <v>557.40547523455518</v>
      </c>
      <c r="Z3" s="7">
        <v>563.82137810895188</v>
      </c>
      <c r="AA3" s="7">
        <v>618.73335254040671</v>
      </c>
      <c r="AB3" s="7">
        <v>666.33131500154741</v>
      </c>
      <c r="AC3" s="7">
        <v>713.13860811758855</v>
      </c>
      <c r="AD3" s="7">
        <v>752.66288295758727</v>
      </c>
      <c r="AE3" s="7">
        <v>792.9982353287819</v>
      </c>
      <c r="AF3" s="7">
        <v>820.98276928475502</v>
      </c>
      <c r="AG3" s="7">
        <v>848.52581724963989</v>
      </c>
      <c r="AH3" s="7">
        <v>866.91349138133558</v>
      </c>
      <c r="AI3" s="7">
        <v>880.39066597622787</v>
      </c>
      <c r="AJ3" s="7">
        <v>886.9768698766436</v>
      </c>
      <c r="AK3" s="7">
        <v>890.13482842781514</v>
      </c>
      <c r="AL3" s="7">
        <v>900.7569916229852</v>
      </c>
      <c r="AM3" s="7">
        <v>911.7265811021723</v>
      </c>
      <c r="AN3" s="7">
        <v>922.59866588489399</v>
      </c>
      <c r="AO3" s="7">
        <v>933.02744244813971</v>
      </c>
      <c r="AP3" s="7">
        <v>942.92070210483985</v>
      </c>
      <c r="AQ3" s="7">
        <v>953.01686982211027</v>
      </c>
      <c r="AR3" s="7">
        <v>962.99397142374687</v>
      </c>
      <c r="AS3" s="7">
        <v>972.22967035909755</v>
      </c>
      <c r="AT3" s="7">
        <v>980.19697923151489</v>
      </c>
      <c r="AV3">
        <v>2020</v>
      </c>
      <c r="AW3" t="s">
        <v>294</v>
      </c>
      <c r="AX3" t="s">
        <v>249</v>
      </c>
      <c r="AY3" t="s">
        <v>17</v>
      </c>
      <c r="AZ3">
        <f t="shared" ref="AZ3:AZ58" si="0">AV3</f>
        <v>2020</v>
      </c>
      <c r="BA3" t="s">
        <v>58</v>
      </c>
      <c r="BB3">
        <v>116.94</v>
      </c>
      <c r="BC3" t="s">
        <v>114</v>
      </c>
    </row>
    <row r="4" spans="1:55">
      <c r="A4" t="s">
        <v>221</v>
      </c>
      <c r="B4" s="7">
        <v>2.7981435091849525</v>
      </c>
      <c r="C4" s="7">
        <v>7.8276519040868777</v>
      </c>
      <c r="D4" s="7">
        <v>15.820402913691421</v>
      </c>
      <c r="E4" s="7">
        <v>28.80037820887204</v>
      </c>
      <c r="F4" s="7">
        <v>47.53804578774723</v>
      </c>
      <c r="G4" s="7">
        <v>72.011112937800775</v>
      </c>
      <c r="H4" s="7">
        <v>103.57291394215687</v>
      </c>
      <c r="I4" s="7">
        <v>143.79814968394618</v>
      </c>
      <c r="J4" s="7">
        <v>193.09302423081061</v>
      </c>
      <c r="K4" s="7">
        <v>253.60169124224834</v>
      </c>
      <c r="L4" s="7">
        <v>323.36103779007021</v>
      </c>
      <c r="M4" s="7">
        <v>406.05586839705518</v>
      </c>
      <c r="N4" s="7">
        <v>500.44530076940612</v>
      </c>
      <c r="O4" s="7">
        <v>609.70536426798196</v>
      </c>
      <c r="P4" s="7">
        <v>738.06243426460333</v>
      </c>
      <c r="Q4" s="7">
        <v>891.5012881086908</v>
      </c>
      <c r="R4" s="7">
        <v>1065.3752674335883</v>
      </c>
      <c r="S4" s="7">
        <v>1276.0798065198974</v>
      </c>
      <c r="T4" s="7">
        <v>1507.9013104545531</v>
      </c>
      <c r="U4" s="7">
        <v>1771.3578011901041</v>
      </c>
      <c r="V4" s="7">
        <v>2054.0233733288519</v>
      </c>
      <c r="W4" s="7">
        <v>2384.3398116229282</v>
      </c>
      <c r="X4" s="7">
        <v>2751.6657599720966</v>
      </c>
      <c r="Y4" s="7">
        <v>3168.4100697543126</v>
      </c>
      <c r="Z4" s="7">
        <v>3624.5660021289759</v>
      </c>
      <c r="AA4" s="7">
        <v>3844.9858336439556</v>
      </c>
      <c r="AB4" s="7">
        <v>3997.9878900092849</v>
      </c>
      <c r="AC4" s="7">
        <v>4126.016232680332</v>
      </c>
      <c r="AD4" s="7">
        <v>4193.4074907636996</v>
      </c>
      <c r="AE4" s="7">
        <v>4248.204832118473</v>
      </c>
      <c r="AF4" s="7">
        <v>4222.1970991787384</v>
      </c>
      <c r="AG4" s="7">
        <v>4182.020099301797</v>
      </c>
      <c r="AH4" s="7">
        <v>4086.8778879405818</v>
      </c>
      <c r="AI4" s="7">
        <v>3961.757996893024</v>
      </c>
      <c r="AJ4" s="7">
        <v>3801.3294423284724</v>
      </c>
      <c r="AK4" s="7">
        <v>3814.8635504049216</v>
      </c>
      <c r="AL4" s="7">
        <v>3860.3871069556508</v>
      </c>
      <c r="AM4" s="7">
        <v>3907.3996332950237</v>
      </c>
      <c r="AN4" s="7">
        <v>3953.9942823638312</v>
      </c>
      <c r="AO4" s="7">
        <v>3998.6890390634553</v>
      </c>
      <c r="AP4" s="7">
        <v>4041.0887233064564</v>
      </c>
      <c r="AQ4" s="7">
        <v>4084.3580135233292</v>
      </c>
      <c r="AR4" s="7">
        <v>4127.1170203874854</v>
      </c>
      <c r="AS4" s="7">
        <v>4166.6985872532759</v>
      </c>
      <c r="AT4" s="7">
        <v>4200.8441967064909</v>
      </c>
      <c r="AV4">
        <f t="shared" ref="AV4:AV11" si="1">AV3+5</f>
        <v>2025</v>
      </c>
      <c r="AW4" t="str">
        <f>AW3</f>
        <v>R12_GLB</v>
      </c>
      <c r="AX4" t="s">
        <v>249</v>
      </c>
      <c r="AY4" t="s">
        <v>17</v>
      </c>
      <c r="AZ4">
        <f t="shared" si="0"/>
        <v>2025</v>
      </c>
      <c r="BA4" t="s">
        <v>58</v>
      </c>
      <c r="BB4">
        <v>205.62</v>
      </c>
      <c r="BC4" t="s">
        <v>114</v>
      </c>
    </row>
    <row r="5" spans="1:55">
      <c r="A5" t="s">
        <v>222</v>
      </c>
      <c r="B5" s="7">
        <v>17.628304107865201</v>
      </c>
      <c r="C5" s="7">
        <v>29.74507723553014</v>
      </c>
      <c r="D5" s="7">
        <v>46.933861977284565</v>
      </c>
      <c r="E5" s="7">
        <v>73.440964432623701</v>
      </c>
      <c r="F5" s="7">
        <v>109.33750531181863</v>
      </c>
      <c r="G5" s="7">
        <v>144.02222587560155</v>
      </c>
      <c r="H5" s="7">
        <v>183.9578620763682</v>
      </c>
      <c r="I5" s="7">
        <v>230.45796174513228</v>
      </c>
      <c r="J5" s="7">
        <v>282.74335690940126</v>
      </c>
      <c r="K5" s="7">
        <v>342.70498816520046</v>
      </c>
      <c r="L5" s="7">
        <v>406.60249306276165</v>
      </c>
      <c r="M5" s="7">
        <v>478.36718742666767</v>
      </c>
      <c r="N5" s="7">
        <v>555.57910509145916</v>
      </c>
      <c r="O5" s="7">
        <v>641.03409840032896</v>
      </c>
      <c r="P5" s="7">
        <v>738.06243426460333</v>
      </c>
      <c r="Q5" s="7">
        <v>801.73206118107942</v>
      </c>
      <c r="R5" s="7">
        <v>863.44139321415003</v>
      </c>
      <c r="S5" s="7">
        <v>933.42874736177669</v>
      </c>
      <c r="T5" s="7">
        <v>996.44940398458766</v>
      </c>
      <c r="U5" s="7">
        <v>1057.8942423774233</v>
      </c>
      <c r="V5" s="7">
        <v>1108.5205506854122</v>
      </c>
      <c r="W5" s="7">
        <v>1162.0646051596591</v>
      </c>
      <c r="X5" s="7">
        <v>1209.6694886833855</v>
      </c>
      <c r="Y5" s="7">
        <v>1254.162319277749</v>
      </c>
      <c r="Z5" s="7">
        <v>1288.7345785347472</v>
      </c>
      <c r="AA5" s="7">
        <v>1414.2476629495011</v>
      </c>
      <c r="AB5" s="7">
        <v>1523.0430057178228</v>
      </c>
      <c r="AC5" s="7">
        <v>1630.0311042687733</v>
      </c>
      <c r="AD5" s="7">
        <v>1720.372303903056</v>
      </c>
      <c r="AE5" s="7">
        <v>1812.5673950372154</v>
      </c>
      <c r="AF5" s="7">
        <v>1876.5320440794396</v>
      </c>
      <c r="AG5" s="7">
        <v>1939.4875822848915</v>
      </c>
      <c r="AH5" s="7">
        <v>1981.5165517287669</v>
      </c>
      <c r="AI5" s="7">
        <v>2012.3215222313777</v>
      </c>
      <c r="AJ5" s="7">
        <v>2027.3757025751856</v>
      </c>
      <c r="AK5" s="7">
        <v>2034.5938935492916</v>
      </c>
      <c r="AL5" s="7">
        <v>2058.8731237096804</v>
      </c>
      <c r="AM5" s="7">
        <v>2083.9464710906786</v>
      </c>
      <c r="AN5" s="7">
        <v>2108.7969505940437</v>
      </c>
      <c r="AO5" s="7">
        <v>2132.6341541671763</v>
      </c>
      <c r="AP5" s="7">
        <v>2155.2473190967767</v>
      </c>
      <c r="AQ5" s="7">
        <v>2178.3242738791091</v>
      </c>
      <c r="AR5" s="7">
        <v>2201.1290775399921</v>
      </c>
      <c r="AS5" s="7">
        <v>2222.2392465350804</v>
      </c>
      <c r="AT5" s="7">
        <v>2240.4502382434621</v>
      </c>
      <c r="AV5">
        <f t="shared" si="1"/>
        <v>2030</v>
      </c>
      <c r="AW5" t="str">
        <f t="shared" ref="AW5:AW58" si="2">AW4</f>
        <v>R12_GLB</v>
      </c>
      <c r="AX5" t="s">
        <v>249</v>
      </c>
      <c r="AY5" t="s">
        <v>17</v>
      </c>
      <c r="AZ5">
        <f t="shared" si="0"/>
        <v>2030</v>
      </c>
      <c r="BA5" t="s">
        <v>58</v>
      </c>
      <c r="BB5">
        <v>273.36</v>
      </c>
      <c r="BC5" t="s">
        <v>114</v>
      </c>
    </row>
    <row r="6" spans="1:55">
      <c r="A6" t="s">
        <v>223</v>
      </c>
      <c r="B6" s="7">
        <v>29.100692495523504</v>
      </c>
      <c r="C6" s="7">
        <v>40.312407306047412</v>
      </c>
      <c r="D6" s="7">
        <v>53.789369906550839</v>
      </c>
      <c r="E6" s="7">
        <v>72.720954977401902</v>
      </c>
      <c r="F6" s="7">
        <v>95.076091575494473</v>
      </c>
      <c r="G6" s="7">
        <v>116.94112357420636</v>
      </c>
      <c r="H6" s="7">
        <v>139.12779484767344</v>
      </c>
      <c r="I6" s="7">
        <v>161.89195659782021</v>
      </c>
      <c r="J6" s="7">
        <v>183.89811831505776</v>
      </c>
      <c r="K6" s="7">
        <v>205.62299289912028</v>
      </c>
      <c r="L6" s="7">
        <v>224.11161034955364</v>
      </c>
      <c r="M6" s="7">
        <v>241.03773009870849</v>
      </c>
      <c r="N6" s="7">
        <v>254.46371225563018</v>
      </c>
      <c r="O6" s="7">
        <v>265.08928881216616</v>
      </c>
      <c r="P6" s="7">
        <v>273.35645713503823</v>
      </c>
      <c r="Q6" s="7">
        <v>300.26258661994098</v>
      </c>
      <c r="R6" s="7">
        <v>327.27214097633112</v>
      </c>
      <c r="S6" s="7">
        <v>358.40513084355132</v>
      </c>
      <c r="T6" s="7">
        <v>387.99799801169786</v>
      </c>
      <c r="U6" s="7">
        <v>418.23725861433013</v>
      </c>
      <c r="V6" s="7">
        <v>445.58178998139118</v>
      </c>
      <c r="W6" s="7">
        <v>475.66375029851338</v>
      </c>
      <c r="X6" s="7">
        <v>505.13670956009526</v>
      </c>
      <c r="Y6" s="7">
        <v>535.40262752792796</v>
      </c>
      <c r="Z6" s="7">
        <v>563.82137810895188</v>
      </c>
      <c r="AA6" s="7">
        <v>618.73335254040671</v>
      </c>
      <c r="AB6" s="7">
        <v>666.33131500154741</v>
      </c>
      <c r="AC6" s="7">
        <v>713.13860811758855</v>
      </c>
      <c r="AD6" s="7">
        <v>752.66288295758727</v>
      </c>
      <c r="AE6" s="7">
        <v>792.9982353287819</v>
      </c>
      <c r="AF6" s="7">
        <v>820.98276928475502</v>
      </c>
      <c r="AG6" s="7">
        <v>848.52581724963989</v>
      </c>
      <c r="AH6" s="7">
        <v>866.91349138133558</v>
      </c>
      <c r="AI6" s="7">
        <v>880.39066597622787</v>
      </c>
      <c r="AJ6" s="7">
        <v>886.9768698766436</v>
      </c>
      <c r="AK6" s="7">
        <v>890.13482842781514</v>
      </c>
      <c r="AL6" s="7">
        <v>900.7569916229852</v>
      </c>
      <c r="AM6" s="7">
        <v>911.7265811021723</v>
      </c>
      <c r="AN6" s="7">
        <v>922.59866588489399</v>
      </c>
      <c r="AO6" s="7">
        <v>933.02744244813971</v>
      </c>
      <c r="AP6" s="7">
        <v>942.92070210483985</v>
      </c>
      <c r="AQ6" s="7">
        <v>953.01686982211027</v>
      </c>
      <c r="AR6" s="7">
        <v>962.99397142374687</v>
      </c>
      <c r="AS6" s="7">
        <v>972.22967035909755</v>
      </c>
      <c r="AT6" s="7">
        <v>980.19697923151489</v>
      </c>
      <c r="AV6">
        <f t="shared" si="1"/>
        <v>2035</v>
      </c>
      <c r="AW6" t="str">
        <f t="shared" si="2"/>
        <v>R12_GLB</v>
      </c>
      <c r="AX6" t="s">
        <v>249</v>
      </c>
      <c r="AY6" t="s">
        <v>17</v>
      </c>
      <c r="AZ6">
        <f t="shared" si="0"/>
        <v>2035</v>
      </c>
      <c r="BA6" t="s">
        <v>58</v>
      </c>
      <c r="BB6">
        <v>418.24</v>
      </c>
      <c r="BC6" t="s">
        <v>114</v>
      </c>
    </row>
    <row r="7" spans="1:55">
      <c r="AV7">
        <f t="shared" si="1"/>
        <v>2040</v>
      </c>
      <c r="AW7" t="str">
        <f t="shared" si="2"/>
        <v>R12_GLB</v>
      </c>
      <c r="AX7" t="s">
        <v>249</v>
      </c>
      <c r="AY7" t="s">
        <v>17</v>
      </c>
      <c r="AZ7">
        <f t="shared" si="0"/>
        <v>2040</v>
      </c>
      <c r="BA7" t="s">
        <v>58</v>
      </c>
      <c r="BB7">
        <v>563.82000000000005</v>
      </c>
      <c r="BC7" t="s">
        <v>114</v>
      </c>
    </row>
    <row r="8" spans="1:55">
      <c r="AV8">
        <f t="shared" si="1"/>
        <v>2045</v>
      </c>
      <c r="AW8" t="str">
        <f t="shared" si="2"/>
        <v>R12_GLB</v>
      </c>
      <c r="AX8" t="s">
        <v>249</v>
      </c>
      <c r="AY8" t="s">
        <v>17</v>
      </c>
      <c r="AZ8">
        <f t="shared" si="0"/>
        <v>2045</v>
      </c>
      <c r="BA8" t="s">
        <v>58</v>
      </c>
      <c r="BB8">
        <v>793</v>
      </c>
      <c r="BC8" t="s">
        <v>114</v>
      </c>
    </row>
    <row r="9" spans="1:55">
      <c r="AV9">
        <f t="shared" si="1"/>
        <v>2050</v>
      </c>
      <c r="AW9" t="str">
        <f t="shared" si="2"/>
        <v>R12_GLB</v>
      </c>
      <c r="AX9" t="s">
        <v>249</v>
      </c>
      <c r="AY9" t="s">
        <v>17</v>
      </c>
      <c r="AZ9">
        <f t="shared" si="0"/>
        <v>2050</v>
      </c>
      <c r="BA9" t="s">
        <v>58</v>
      </c>
      <c r="BB9">
        <v>886.98</v>
      </c>
      <c r="BC9" t="s">
        <v>114</v>
      </c>
    </row>
    <row r="10" spans="1:55">
      <c r="AV10">
        <f t="shared" si="1"/>
        <v>2055</v>
      </c>
      <c r="AW10" t="str">
        <f t="shared" si="2"/>
        <v>R12_GLB</v>
      </c>
      <c r="AX10" t="s">
        <v>249</v>
      </c>
      <c r="AY10" t="s">
        <v>17</v>
      </c>
      <c r="AZ10">
        <f t="shared" si="0"/>
        <v>2055</v>
      </c>
      <c r="BA10" t="s">
        <v>58</v>
      </c>
      <c r="BB10">
        <v>933.03</v>
      </c>
      <c r="BC10" t="s">
        <v>114</v>
      </c>
    </row>
    <row r="11" spans="1:55">
      <c r="AV11">
        <f t="shared" si="1"/>
        <v>2060</v>
      </c>
      <c r="AW11" t="str">
        <f t="shared" si="2"/>
        <v>R12_GLB</v>
      </c>
      <c r="AX11" t="s">
        <v>249</v>
      </c>
      <c r="AY11" t="s">
        <v>17</v>
      </c>
      <c r="AZ11">
        <f t="shared" si="0"/>
        <v>2060</v>
      </c>
      <c r="BA11" t="s">
        <v>58</v>
      </c>
      <c r="BB11">
        <v>980.2</v>
      </c>
      <c r="BC11" t="s">
        <v>114</v>
      </c>
    </row>
    <row r="12" spans="1:55">
      <c r="AV12">
        <f>AV11+10</f>
        <v>2070</v>
      </c>
      <c r="AW12" t="str">
        <f t="shared" si="2"/>
        <v>R12_GLB</v>
      </c>
      <c r="AX12" t="s">
        <v>249</v>
      </c>
      <c r="AY12" t="s">
        <v>17</v>
      </c>
      <c r="AZ12">
        <f t="shared" si="0"/>
        <v>2070</v>
      </c>
      <c r="BA12" t="s">
        <v>58</v>
      </c>
      <c r="BB12">
        <f>BB11</f>
        <v>980.2</v>
      </c>
      <c r="BC12" t="s">
        <v>114</v>
      </c>
    </row>
    <row r="13" spans="1:55">
      <c r="AV13">
        <f>AV12+10</f>
        <v>2080</v>
      </c>
      <c r="AW13" t="str">
        <f t="shared" si="2"/>
        <v>R12_GLB</v>
      </c>
      <c r="AX13" t="s">
        <v>249</v>
      </c>
      <c r="AY13" t="s">
        <v>17</v>
      </c>
      <c r="AZ13">
        <f t="shared" si="0"/>
        <v>2080</v>
      </c>
      <c r="BA13" t="s">
        <v>58</v>
      </c>
      <c r="BB13">
        <f>BB12</f>
        <v>980.2</v>
      </c>
      <c r="BC13" t="s">
        <v>114</v>
      </c>
    </row>
    <row r="14" spans="1:55">
      <c r="AV14">
        <f>AV13+10</f>
        <v>2090</v>
      </c>
      <c r="AW14" t="str">
        <f t="shared" si="2"/>
        <v>R12_GLB</v>
      </c>
      <c r="AX14" t="s">
        <v>249</v>
      </c>
      <c r="AY14" t="s">
        <v>17</v>
      </c>
      <c r="AZ14">
        <f t="shared" si="0"/>
        <v>2090</v>
      </c>
      <c r="BA14" t="s">
        <v>58</v>
      </c>
      <c r="BB14">
        <f>BB13</f>
        <v>980.2</v>
      </c>
      <c r="BC14" t="s">
        <v>114</v>
      </c>
    </row>
    <row r="15" spans="1:55">
      <c r="AV15">
        <f>AV14+10</f>
        <v>2100</v>
      </c>
      <c r="AW15" t="str">
        <f t="shared" si="2"/>
        <v>R12_GLB</v>
      </c>
      <c r="AX15" t="s">
        <v>249</v>
      </c>
      <c r="AY15" t="s">
        <v>17</v>
      </c>
      <c r="AZ15">
        <f t="shared" si="0"/>
        <v>2100</v>
      </c>
      <c r="BA15" t="s">
        <v>58</v>
      </c>
      <c r="BB15">
        <f>BB14</f>
        <v>980.2</v>
      </c>
      <c r="BC15" t="s">
        <v>114</v>
      </c>
    </row>
    <row r="16" spans="1:55">
      <c r="AV16">
        <f>AV15+10</f>
        <v>2110</v>
      </c>
      <c r="AW16" t="str">
        <f t="shared" si="2"/>
        <v>R12_GLB</v>
      </c>
      <c r="AX16" t="s">
        <v>249</v>
      </c>
      <c r="AY16" t="s">
        <v>17</v>
      </c>
      <c r="AZ16">
        <f t="shared" si="0"/>
        <v>2110</v>
      </c>
      <c r="BA16" t="s">
        <v>58</v>
      </c>
      <c r="BB16">
        <f>BB15</f>
        <v>980.2</v>
      </c>
      <c r="BC16" t="s">
        <v>114</v>
      </c>
    </row>
    <row r="17" spans="48:55">
      <c r="AV17">
        <v>2020</v>
      </c>
      <c r="AW17" t="str">
        <f t="shared" si="2"/>
        <v>R12_GLB</v>
      </c>
      <c r="AX17" t="s">
        <v>250</v>
      </c>
      <c r="AY17" t="s">
        <v>17</v>
      </c>
      <c r="AZ17">
        <f t="shared" si="0"/>
        <v>2020</v>
      </c>
      <c r="BA17" t="s">
        <v>58</v>
      </c>
      <c r="BB17">
        <v>71.307068681620862</v>
      </c>
      <c r="BC17" t="s">
        <v>114</v>
      </c>
    </row>
    <row r="18" spans="48:55">
      <c r="AV18">
        <f t="shared" ref="AV18:AV25" si="3">AV17+5</f>
        <v>2025</v>
      </c>
      <c r="AW18" t="str">
        <f t="shared" si="2"/>
        <v>R12_GLB</v>
      </c>
      <c r="AX18" t="s">
        <v>250</v>
      </c>
      <c r="AY18" t="s">
        <v>17</v>
      </c>
      <c r="AZ18">
        <f t="shared" si="0"/>
        <v>2025</v>
      </c>
      <c r="BA18" t="s">
        <v>58</v>
      </c>
      <c r="BB18">
        <v>191.91479337251224</v>
      </c>
      <c r="BC18" t="s">
        <v>114</v>
      </c>
    </row>
    <row r="19" spans="48:55">
      <c r="AV19">
        <f t="shared" si="3"/>
        <v>2030</v>
      </c>
      <c r="AW19" t="str">
        <f t="shared" si="2"/>
        <v>R12_GLB</v>
      </c>
      <c r="AX19" t="s">
        <v>250</v>
      </c>
      <c r="AY19" t="s">
        <v>17</v>
      </c>
      <c r="AZ19">
        <f t="shared" si="0"/>
        <v>2030</v>
      </c>
      <c r="BA19" t="s">
        <v>58</v>
      </c>
      <c r="BB19">
        <v>355.36339427554969</v>
      </c>
      <c r="BC19" t="s">
        <v>114</v>
      </c>
    </row>
    <row r="20" spans="48:55">
      <c r="AV20">
        <f t="shared" si="3"/>
        <v>2035</v>
      </c>
      <c r="AW20" t="str">
        <f t="shared" si="2"/>
        <v>R12_GLB</v>
      </c>
      <c r="AX20" t="s">
        <v>250</v>
      </c>
      <c r="AY20" t="s">
        <v>17</v>
      </c>
      <c r="AZ20">
        <f t="shared" si="0"/>
        <v>2035</v>
      </c>
      <c r="BA20" t="s">
        <v>58</v>
      </c>
      <c r="BB20">
        <v>492.04383366391778</v>
      </c>
      <c r="BC20" t="s">
        <v>114</v>
      </c>
    </row>
    <row r="21" spans="48:55">
      <c r="AV21">
        <f t="shared" si="3"/>
        <v>2040</v>
      </c>
      <c r="AW21" t="str">
        <f t="shared" si="2"/>
        <v>R12_GLB</v>
      </c>
      <c r="AX21" t="s">
        <v>250</v>
      </c>
      <c r="AY21" t="s">
        <v>17</v>
      </c>
      <c r="AZ21">
        <f t="shared" si="0"/>
        <v>2040</v>
      </c>
      <c r="BA21" t="s">
        <v>58</v>
      </c>
      <c r="BB21">
        <v>563.82137810895188</v>
      </c>
      <c r="BC21" t="s">
        <v>114</v>
      </c>
    </row>
    <row r="22" spans="48:55">
      <c r="AV22">
        <f t="shared" si="3"/>
        <v>2045</v>
      </c>
      <c r="AW22" t="str">
        <f t="shared" si="2"/>
        <v>R12_GLB</v>
      </c>
      <c r="AX22" t="s">
        <v>250</v>
      </c>
      <c r="AY22" t="s">
        <v>17</v>
      </c>
      <c r="AZ22">
        <f t="shared" si="0"/>
        <v>2045</v>
      </c>
      <c r="BA22" t="s">
        <v>58</v>
      </c>
      <c r="BB22">
        <v>792.9982353287819</v>
      </c>
      <c r="BC22" t="s">
        <v>114</v>
      </c>
    </row>
    <row r="23" spans="48:55">
      <c r="AV23">
        <f t="shared" si="3"/>
        <v>2050</v>
      </c>
      <c r="AW23" t="str">
        <f t="shared" si="2"/>
        <v>R12_GLB</v>
      </c>
      <c r="AX23" t="s">
        <v>250</v>
      </c>
      <c r="AY23" t="s">
        <v>17</v>
      </c>
      <c r="AZ23">
        <f t="shared" si="0"/>
        <v>2050</v>
      </c>
      <c r="BA23" t="s">
        <v>58</v>
      </c>
      <c r="BB23">
        <v>886.9768698766436</v>
      </c>
      <c r="BC23" t="s">
        <v>114</v>
      </c>
    </row>
    <row r="24" spans="48:55">
      <c r="AV24">
        <f t="shared" si="3"/>
        <v>2055</v>
      </c>
      <c r="AW24" t="str">
        <f t="shared" si="2"/>
        <v>R12_GLB</v>
      </c>
      <c r="AX24" t="s">
        <v>250</v>
      </c>
      <c r="AY24" t="s">
        <v>17</v>
      </c>
      <c r="AZ24">
        <f t="shared" si="0"/>
        <v>2055</v>
      </c>
      <c r="BA24" t="s">
        <v>58</v>
      </c>
      <c r="BB24">
        <v>933.02744244813971</v>
      </c>
      <c r="BC24" t="s">
        <v>114</v>
      </c>
    </row>
    <row r="25" spans="48:55">
      <c r="AV25">
        <f t="shared" si="3"/>
        <v>2060</v>
      </c>
      <c r="AW25" t="str">
        <f t="shared" si="2"/>
        <v>R12_GLB</v>
      </c>
      <c r="AX25" t="s">
        <v>250</v>
      </c>
      <c r="AY25" t="s">
        <v>17</v>
      </c>
      <c r="AZ25">
        <f t="shared" si="0"/>
        <v>2060</v>
      </c>
      <c r="BA25" t="s">
        <v>58</v>
      </c>
      <c r="BB25">
        <v>980.19697923151489</v>
      </c>
      <c r="BC25" t="s">
        <v>114</v>
      </c>
    </row>
    <row r="26" spans="48:55">
      <c r="AV26">
        <f>AV25+10</f>
        <v>2070</v>
      </c>
      <c r="AW26" t="str">
        <f t="shared" si="2"/>
        <v>R12_GLB</v>
      </c>
      <c r="AX26" t="s">
        <v>250</v>
      </c>
      <c r="AY26" t="s">
        <v>17</v>
      </c>
      <c r="AZ26">
        <f t="shared" si="0"/>
        <v>2070</v>
      </c>
      <c r="BA26" t="s">
        <v>58</v>
      </c>
      <c r="BB26">
        <f>BB25</f>
        <v>980.19697923151489</v>
      </c>
      <c r="BC26" t="s">
        <v>114</v>
      </c>
    </row>
    <row r="27" spans="48:55">
      <c r="AV27">
        <f>AV26+10</f>
        <v>2080</v>
      </c>
      <c r="AW27" t="str">
        <f t="shared" si="2"/>
        <v>R12_GLB</v>
      </c>
      <c r="AX27" t="s">
        <v>250</v>
      </c>
      <c r="AY27" t="s">
        <v>17</v>
      </c>
      <c r="AZ27">
        <f t="shared" si="0"/>
        <v>2080</v>
      </c>
      <c r="BA27" t="s">
        <v>58</v>
      </c>
      <c r="BB27">
        <f>BB26</f>
        <v>980.19697923151489</v>
      </c>
      <c r="BC27" t="s">
        <v>114</v>
      </c>
    </row>
    <row r="28" spans="48:55">
      <c r="AV28">
        <f>AV27+10</f>
        <v>2090</v>
      </c>
      <c r="AW28" t="str">
        <f t="shared" si="2"/>
        <v>R12_GLB</v>
      </c>
      <c r="AX28" t="s">
        <v>250</v>
      </c>
      <c r="AY28" t="s">
        <v>17</v>
      </c>
      <c r="AZ28">
        <f t="shared" si="0"/>
        <v>2090</v>
      </c>
      <c r="BA28" t="s">
        <v>58</v>
      </c>
      <c r="BB28">
        <f>BB27</f>
        <v>980.19697923151489</v>
      </c>
      <c r="BC28" t="s">
        <v>114</v>
      </c>
    </row>
    <row r="29" spans="48:55">
      <c r="AV29">
        <f>AV28+10</f>
        <v>2100</v>
      </c>
      <c r="AW29" t="str">
        <f t="shared" si="2"/>
        <v>R12_GLB</v>
      </c>
      <c r="AX29" t="s">
        <v>250</v>
      </c>
      <c r="AY29" t="s">
        <v>17</v>
      </c>
      <c r="AZ29">
        <f t="shared" si="0"/>
        <v>2100</v>
      </c>
      <c r="BA29" t="s">
        <v>58</v>
      </c>
      <c r="BB29">
        <f>BB28</f>
        <v>980.19697923151489</v>
      </c>
      <c r="BC29" t="s">
        <v>114</v>
      </c>
    </row>
    <row r="30" spans="48:55">
      <c r="AV30">
        <f>AV29+10</f>
        <v>2110</v>
      </c>
      <c r="AW30" t="str">
        <f t="shared" si="2"/>
        <v>R12_GLB</v>
      </c>
      <c r="AX30" t="s">
        <v>250</v>
      </c>
      <c r="AY30" t="s">
        <v>17</v>
      </c>
      <c r="AZ30">
        <f t="shared" si="0"/>
        <v>2110</v>
      </c>
      <c r="BA30" t="s">
        <v>58</v>
      </c>
      <c r="BB30">
        <f>BB29</f>
        <v>980.19697923151489</v>
      </c>
      <c r="BC30" t="s">
        <v>114</v>
      </c>
    </row>
    <row r="31" spans="48:55">
      <c r="AV31">
        <v>2020</v>
      </c>
      <c r="AW31" t="str">
        <f t="shared" si="2"/>
        <v>R12_GLB</v>
      </c>
      <c r="AX31" t="s">
        <v>251</v>
      </c>
      <c r="AY31" t="s">
        <v>17</v>
      </c>
      <c r="AZ31">
        <f t="shared" si="0"/>
        <v>2020</v>
      </c>
      <c r="BA31" t="s">
        <v>58</v>
      </c>
      <c r="BB31">
        <v>47.53804578774723</v>
      </c>
      <c r="BC31" t="s">
        <v>114</v>
      </c>
    </row>
    <row r="32" spans="48:55">
      <c r="AV32">
        <f t="shared" ref="AV32:AV39" si="4">AV31+5</f>
        <v>2025</v>
      </c>
      <c r="AW32" t="str">
        <f t="shared" si="2"/>
        <v>R12_GLB</v>
      </c>
      <c r="AX32" t="s">
        <v>251</v>
      </c>
      <c r="AY32" t="s">
        <v>17</v>
      </c>
      <c r="AZ32">
        <f t="shared" si="0"/>
        <v>2025</v>
      </c>
      <c r="BA32" t="s">
        <v>58</v>
      </c>
      <c r="BB32">
        <v>253.60169124224834</v>
      </c>
      <c r="BC32" t="s">
        <v>114</v>
      </c>
    </row>
    <row r="33" spans="48:55">
      <c r="AV33">
        <f t="shared" si="4"/>
        <v>2030</v>
      </c>
      <c r="AW33" t="str">
        <f t="shared" si="2"/>
        <v>R12_GLB</v>
      </c>
      <c r="AX33" t="s">
        <v>251</v>
      </c>
      <c r="AY33" t="s">
        <v>17</v>
      </c>
      <c r="AZ33">
        <f t="shared" si="0"/>
        <v>2030</v>
      </c>
      <c r="BA33" t="s">
        <v>58</v>
      </c>
      <c r="BB33">
        <v>738.06243426460333</v>
      </c>
      <c r="BC33" t="s">
        <v>114</v>
      </c>
    </row>
    <row r="34" spans="48:55">
      <c r="AV34">
        <f t="shared" si="4"/>
        <v>2035</v>
      </c>
      <c r="AW34" t="str">
        <f t="shared" si="2"/>
        <v>R12_GLB</v>
      </c>
      <c r="AX34" t="s">
        <v>251</v>
      </c>
      <c r="AY34" t="s">
        <v>17</v>
      </c>
      <c r="AZ34">
        <f t="shared" si="0"/>
        <v>2035</v>
      </c>
      <c r="BA34" t="s">
        <v>58</v>
      </c>
      <c r="BB34">
        <v>1771.3578011901041</v>
      </c>
      <c r="BC34" t="s">
        <v>114</v>
      </c>
    </row>
    <row r="35" spans="48:55">
      <c r="AV35">
        <f t="shared" si="4"/>
        <v>2040</v>
      </c>
      <c r="AW35" t="str">
        <f t="shared" si="2"/>
        <v>R12_GLB</v>
      </c>
      <c r="AX35" t="s">
        <v>251</v>
      </c>
      <c r="AY35" t="s">
        <v>17</v>
      </c>
      <c r="AZ35">
        <f t="shared" si="0"/>
        <v>2040</v>
      </c>
      <c r="BA35" t="s">
        <v>58</v>
      </c>
      <c r="BB35">
        <v>3624.5660021289759</v>
      </c>
      <c r="BC35" t="s">
        <v>114</v>
      </c>
    </row>
    <row r="36" spans="48:55">
      <c r="AV36">
        <f t="shared" si="4"/>
        <v>2045</v>
      </c>
      <c r="AW36" t="str">
        <f t="shared" si="2"/>
        <v>R12_GLB</v>
      </c>
      <c r="AX36" t="s">
        <v>251</v>
      </c>
      <c r="AY36" t="s">
        <v>17</v>
      </c>
      <c r="AZ36">
        <f t="shared" si="0"/>
        <v>2045</v>
      </c>
      <c r="BA36" t="s">
        <v>58</v>
      </c>
      <c r="BB36">
        <v>4248.204832118473</v>
      </c>
      <c r="BC36" t="s">
        <v>114</v>
      </c>
    </row>
    <row r="37" spans="48:55">
      <c r="AV37">
        <f t="shared" si="4"/>
        <v>2050</v>
      </c>
      <c r="AW37" t="str">
        <f t="shared" si="2"/>
        <v>R12_GLB</v>
      </c>
      <c r="AX37" t="s">
        <v>251</v>
      </c>
      <c r="AY37" t="s">
        <v>17</v>
      </c>
      <c r="AZ37">
        <f t="shared" si="0"/>
        <v>2050</v>
      </c>
      <c r="BA37" t="s">
        <v>58</v>
      </c>
      <c r="BB37">
        <v>3801.3294423284724</v>
      </c>
      <c r="BC37" t="s">
        <v>114</v>
      </c>
    </row>
    <row r="38" spans="48:55">
      <c r="AV38">
        <f t="shared" si="4"/>
        <v>2055</v>
      </c>
      <c r="AW38" t="str">
        <f t="shared" si="2"/>
        <v>R12_GLB</v>
      </c>
      <c r="AX38" t="s">
        <v>251</v>
      </c>
      <c r="AY38" t="s">
        <v>17</v>
      </c>
      <c r="AZ38">
        <f t="shared" si="0"/>
        <v>2055</v>
      </c>
      <c r="BA38" t="s">
        <v>58</v>
      </c>
      <c r="BB38">
        <v>3998.6890390634553</v>
      </c>
      <c r="BC38" t="s">
        <v>114</v>
      </c>
    </row>
    <row r="39" spans="48:55">
      <c r="AV39">
        <f t="shared" si="4"/>
        <v>2060</v>
      </c>
      <c r="AW39" t="str">
        <f t="shared" si="2"/>
        <v>R12_GLB</v>
      </c>
      <c r="AX39" t="s">
        <v>251</v>
      </c>
      <c r="AY39" t="s">
        <v>17</v>
      </c>
      <c r="AZ39">
        <f t="shared" si="0"/>
        <v>2060</v>
      </c>
      <c r="BA39" t="s">
        <v>58</v>
      </c>
      <c r="BB39">
        <v>4200.8441967064909</v>
      </c>
      <c r="BC39" t="s">
        <v>114</v>
      </c>
    </row>
    <row r="40" spans="48:55">
      <c r="AV40">
        <f>AV39+10</f>
        <v>2070</v>
      </c>
      <c r="AW40" t="str">
        <f t="shared" si="2"/>
        <v>R12_GLB</v>
      </c>
      <c r="AX40" t="s">
        <v>251</v>
      </c>
      <c r="AY40" t="s">
        <v>17</v>
      </c>
      <c r="AZ40">
        <f t="shared" si="0"/>
        <v>2070</v>
      </c>
      <c r="BA40" t="s">
        <v>58</v>
      </c>
      <c r="BB40">
        <f>BB39</f>
        <v>4200.8441967064909</v>
      </c>
      <c r="BC40" t="s">
        <v>114</v>
      </c>
    </row>
    <row r="41" spans="48:55">
      <c r="AV41">
        <f>AV40+10</f>
        <v>2080</v>
      </c>
      <c r="AW41" t="str">
        <f t="shared" si="2"/>
        <v>R12_GLB</v>
      </c>
      <c r="AX41" t="s">
        <v>251</v>
      </c>
      <c r="AY41" t="s">
        <v>17</v>
      </c>
      <c r="AZ41">
        <f t="shared" si="0"/>
        <v>2080</v>
      </c>
      <c r="BA41" t="s">
        <v>58</v>
      </c>
      <c r="BB41">
        <f>BB40</f>
        <v>4200.8441967064909</v>
      </c>
      <c r="BC41" t="s">
        <v>114</v>
      </c>
    </row>
    <row r="42" spans="48:55">
      <c r="AV42">
        <f>AV41+10</f>
        <v>2090</v>
      </c>
      <c r="AW42" t="str">
        <f t="shared" si="2"/>
        <v>R12_GLB</v>
      </c>
      <c r="AX42" t="s">
        <v>251</v>
      </c>
      <c r="AY42" t="s">
        <v>17</v>
      </c>
      <c r="AZ42">
        <f t="shared" si="0"/>
        <v>2090</v>
      </c>
      <c r="BA42" t="s">
        <v>58</v>
      </c>
      <c r="BB42">
        <f>BB41</f>
        <v>4200.8441967064909</v>
      </c>
      <c r="BC42" t="s">
        <v>114</v>
      </c>
    </row>
    <row r="43" spans="48:55">
      <c r="AV43">
        <f>AV42+10</f>
        <v>2100</v>
      </c>
      <c r="AW43" t="str">
        <f t="shared" si="2"/>
        <v>R12_GLB</v>
      </c>
      <c r="AX43" t="s">
        <v>251</v>
      </c>
      <c r="AY43" t="s">
        <v>17</v>
      </c>
      <c r="AZ43">
        <f t="shared" si="0"/>
        <v>2100</v>
      </c>
      <c r="BA43" t="s">
        <v>58</v>
      </c>
      <c r="BB43">
        <f>BB42</f>
        <v>4200.8441967064909</v>
      </c>
      <c r="BC43" t="s">
        <v>114</v>
      </c>
    </row>
    <row r="44" spans="48:55">
      <c r="AV44">
        <f>AV43+10</f>
        <v>2110</v>
      </c>
      <c r="AW44" t="str">
        <f t="shared" si="2"/>
        <v>R12_GLB</v>
      </c>
      <c r="AX44" t="s">
        <v>251</v>
      </c>
      <c r="AY44" t="s">
        <v>17</v>
      </c>
      <c r="AZ44">
        <f t="shared" si="0"/>
        <v>2110</v>
      </c>
      <c r="BA44" t="s">
        <v>58</v>
      </c>
      <c r="BB44">
        <f>BB43</f>
        <v>4200.8441967064909</v>
      </c>
      <c r="BC44" t="s">
        <v>114</v>
      </c>
    </row>
    <row r="45" spans="48:55">
      <c r="AV45">
        <v>2020</v>
      </c>
      <c r="AW45" t="str">
        <f t="shared" si="2"/>
        <v>R12_GLB</v>
      </c>
      <c r="AX45" t="s">
        <v>252</v>
      </c>
      <c r="AY45" t="s">
        <v>17</v>
      </c>
      <c r="AZ45">
        <f t="shared" si="0"/>
        <v>2020</v>
      </c>
      <c r="BA45" t="s">
        <v>58</v>
      </c>
      <c r="BB45">
        <v>109.33750531181863</v>
      </c>
      <c r="BC45" t="s">
        <v>114</v>
      </c>
    </row>
    <row r="46" spans="48:55">
      <c r="AV46">
        <f t="shared" ref="AV46:AV53" si="5">AV45+5</f>
        <v>2025</v>
      </c>
      <c r="AW46" t="str">
        <f t="shared" si="2"/>
        <v>R12_GLB</v>
      </c>
      <c r="AX46" t="s">
        <v>252</v>
      </c>
      <c r="AY46" t="s">
        <v>17</v>
      </c>
      <c r="AZ46">
        <f t="shared" si="0"/>
        <v>2025</v>
      </c>
      <c r="BA46" t="s">
        <v>58</v>
      </c>
      <c r="BB46">
        <v>342.70498816520046</v>
      </c>
      <c r="BC46" t="s">
        <v>114</v>
      </c>
    </row>
    <row r="47" spans="48:55">
      <c r="AV47">
        <f t="shared" si="5"/>
        <v>2030</v>
      </c>
      <c r="AW47" t="str">
        <f t="shared" si="2"/>
        <v>R12_GLB</v>
      </c>
      <c r="AX47" t="s">
        <v>252</v>
      </c>
      <c r="AY47" t="s">
        <v>17</v>
      </c>
      <c r="AZ47">
        <f t="shared" si="0"/>
        <v>2030</v>
      </c>
      <c r="BA47" t="s">
        <v>58</v>
      </c>
      <c r="BB47">
        <v>738.06243426460333</v>
      </c>
      <c r="BC47" t="s">
        <v>114</v>
      </c>
    </row>
    <row r="48" spans="48:55">
      <c r="AV48">
        <f t="shared" si="5"/>
        <v>2035</v>
      </c>
      <c r="AW48" t="str">
        <f t="shared" si="2"/>
        <v>R12_GLB</v>
      </c>
      <c r="AX48" t="s">
        <v>252</v>
      </c>
      <c r="AY48" t="s">
        <v>17</v>
      </c>
      <c r="AZ48">
        <f t="shared" si="0"/>
        <v>2035</v>
      </c>
      <c r="BA48" t="s">
        <v>58</v>
      </c>
      <c r="BB48">
        <v>1057.8942423774233</v>
      </c>
      <c r="BC48" t="s">
        <v>114</v>
      </c>
    </row>
    <row r="49" spans="48:55">
      <c r="AV49">
        <f t="shared" si="5"/>
        <v>2040</v>
      </c>
      <c r="AW49" t="str">
        <f t="shared" si="2"/>
        <v>R12_GLB</v>
      </c>
      <c r="AX49" t="s">
        <v>252</v>
      </c>
      <c r="AY49" t="s">
        <v>17</v>
      </c>
      <c r="AZ49">
        <f t="shared" si="0"/>
        <v>2040</v>
      </c>
      <c r="BA49" t="s">
        <v>58</v>
      </c>
      <c r="BB49">
        <v>1288.7345785347472</v>
      </c>
      <c r="BC49" t="s">
        <v>114</v>
      </c>
    </row>
    <row r="50" spans="48:55">
      <c r="AV50">
        <f t="shared" si="5"/>
        <v>2045</v>
      </c>
      <c r="AW50" t="str">
        <f t="shared" si="2"/>
        <v>R12_GLB</v>
      </c>
      <c r="AX50" t="s">
        <v>252</v>
      </c>
      <c r="AY50" t="s">
        <v>17</v>
      </c>
      <c r="AZ50">
        <f t="shared" si="0"/>
        <v>2045</v>
      </c>
      <c r="BA50" t="s">
        <v>58</v>
      </c>
      <c r="BB50">
        <v>1812.5673950372154</v>
      </c>
      <c r="BC50" t="s">
        <v>114</v>
      </c>
    </row>
    <row r="51" spans="48:55">
      <c r="AV51">
        <f t="shared" si="5"/>
        <v>2050</v>
      </c>
      <c r="AW51" t="str">
        <f t="shared" si="2"/>
        <v>R12_GLB</v>
      </c>
      <c r="AX51" t="s">
        <v>252</v>
      </c>
      <c r="AY51" t="s">
        <v>17</v>
      </c>
      <c r="AZ51">
        <f t="shared" si="0"/>
        <v>2050</v>
      </c>
      <c r="BA51" t="s">
        <v>58</v>
      </c>
      <c r="BB51">
        <v>2027.3757025751856</v>
      </c>
      <c r="BC51" t="s">
        <v>114</v>
      </c>
    </row>
    <row r="52" spans="48:55">
      <c r="AV52">
        <f t="shared" si="5"/>
        <v>2055</v>
      </c>
      <c r="AW52" t="str">
        <f t="shared" si="2"/>
        <v>R12_GLB</v>
      </c>
      <c r="AX52" t="s">
        <v>252</v>
      </c>
      <c r="AY52" t="s">
        <v>17</v>
      </c>
      <c r="AZ52">
        <f t="shared" si="0"/>
        <v>2055</v>
      </c>
      <c r="BA52" t="s">
        <v>58</v>
      </c>
      <c r="BB52">
        <v>2132.6341541671763</v>
      </c>
      <c r="BC52" t="s">
        <v>114</v>
      </c>
    </row>
    <row r="53" spans="48:55">
      <c r="AV53">
        <f t="shared" si="5"/>
        <v>2060</v>
      </c>
      <c r="AW53" t="str">
        <f t="shared" si="2"/>
        <v>R12_GLB</v>
      </c>
      <c r="AX53" t="s">
        <v>252</v>
      </c>
      <c r="AY53" t="s">
        <v>17</v>
      </c>
      <c r="AZ53">
        <f t="shared" si="0"/>
        <v>2060</v>
      </c>
      <c r="BA53" t="s">
        <v>58</v>
      </c>
      <c r="BB53">
        <v>2240.4502382434621</v>
      </c>
      <c r="BC53" t="s">
        <v>114</v>
      </c>
    </row>
    <row r="54" spans="48:55">
      <c r="AV54">
        <f>AV53+10</f>
        <v>2070</v>
      </c>
      <c r="AW54" t="str">
        <f t="shared" si="2"/>
        <v>R12_GLB</v>
      </c>
      <c r="AX54" t="s">
        <v>252</v>
      </c>
      <c r="AY54" t="s">
        <v>17</v>
      </c>
      <c r="AZ54">
        <f t="shared" si="0"/>
        <v>2070</v>
      </c>
      <c r="BA54" t="s">
        <v>58</v>
      </c>
      <c r="BB54">
        <f>BB53</f>
        <v>2240.4502382434621</v>
      </c>
      <c r="BC54" t="s">
        <v>114</v>
      </c>
    </row>
    <row r="55" spans="48:55">
      <c r="AV55">
        <f>AV54+10</f>
        <v>2080</v>
      </c>
      <c r="AW55" t="str">
        <f t="shared" si="2"/>
        <v>R12_GLB</v>
      </c>
      <c r="AX55" t="s">
        <v>252</v>
      </c>
      <c r="AY55" t="s">
        <v>17</v>
      </c>
      <c r="AZ55">
        <f t="shared" si="0"/>
        <v>2080</v>
      </c>
      <c r="BA55" t="s">
        <v>58</v>
      </c>
      <c r="BB55">
        <f>BB54</f>
        <v>2240.4502382434621</v>
      </c>
      <c r="BC55" t="s">
        <v>114</v>
      </c>
    </row>
    <row r="56" spans="48:55">
      <c r="AV56">
        <f>AV55+10</f>
        <v>2090</v>
      </c>
      <c r="AW56" t="str">
        <f t="shared" si="2"/>
        <v>R12_GLB</v>
      </c>
      <c r="AX56" t="s">
        <v>252</v>
      </c>
      <c r="AY56" t="s">
        <v>17</v>
      </c>
      <c r="AZ56">
        <f t="shared" si="0"/>
        <v>2090</v>
      </c>
      <c r="BA56" t="s">
        <v>58</v>
      </c>
      <c r="BB56">
        <f>BB55</f>
        <v>2240.4502382434621</v>
      </c>
      <c r="BC56" t="s">
        <v>114</v>
      </c>
    </row>
    <row r="57" spans="48:55">
      <c r="AV57">
        <f>AV56+10</f>
        <v>2100</v>
      </c>
      <c r="AW57" t="str">
        <f t="shared" si="2"/>
        <v>R12_GLB</v>
      </c>
      <c r="AX57" t="s">
        <v>252</v>
      </c>
      <c r="AY57" t="s">
        <v>17</v>
      </c>
      <c r="AZ57">
        <f t="shared" si="0"/>
        <v>2100</v>
      </c>
      <c r="BA57" t="s">
        <v>58</v>
      </c>
      <c r="BB57">
        <f>BB56</f>
        <v>2240.4502382434621</v>
      </c>
      <c r="BC57" t="s">
        <v>114</v>
      </c>
    </row>
    <row r="58" spans="48:55">
      <c r="AV58">
        <f>AV57+10</f>
        <v>2110</v>
      </c>
      <c r="AW58" t="str">
        <f t="shared" si="2"/>
        <v>R12_GLB</v>
      </c>
      <c r="AX58" t="s">
        <v>252</v>
      </c>
      <c r="AY58" t="s">
        <v>17</v>
      </c>
      <c r="AZ58">
        <f t="shared" si="0"/>
        <v>2110</v>
      </c>
      <c r="BA58" t="s">
        <v>58</v>
      </c>
      <c r="BB58">
        <f>BB57</f>
        <v>2240.4502382434621</v>
      </c>
      <c r="BC58" t="s">
        <v>114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Flow diagram</vt:lpstr>
      <vt:lpstr>Graphite</vt:lpstr>
      <vt:lpstr>Calculations_caps</vt:lpstr>
      <vt:lpstr>Calculations anode_cathode</vt:lpstr>
      <vt:lpstr>Capacities</vt:lpstr>
      <vt:lpstr>Global_caps</vt:lpstr>
      <vt:lpstr>Regions_share</vt:lpstr>
      <vt:lpstr>demand</vt:lpstr>
      <vt:lpstr>battery demand_mine</vt:lpstr>
      <vt:lpstr>var_costs</vt:lpstr>
      <vt:lpstr>timeseries_graphite2</vt:lpstr>
      <vt:lpstr>timeseries_graphite</vt:lpstr>
      <vt:lpstr>timeseries_batts</vt:lpstr>
      <vt:lpstr>resource_cost</vt:lpstr>
      <vt:lpstr>resource_volume</vt:lpstr>
      <vt:lpstr>Graphite_format</vt:lpstr>
      <vt:lpstr>import_exports</vt:lpstr>
      <vt:lpstr>GLB_trade</vt:lpstr>
      <vt:lpstr>TODO</vt:lpstr>
      <vt:lpstr>Sanity check_energy density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Lorenzo Usai</cp:lastModifiedBy>
  <cp:revision/>
  <dcterms:created xsi:type="dcterms:W3CDTF">2020-08-10T13:20:25Z</dcterms:created>
  <dcterms:modified xsi:type="dcterms:W3CDTF">2023-11-23T08:43:57Z</dcterms:modified>
  <cp:category/>
  <cp:contentStatus/>
</cp:coreProperties>
</file>